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4 Competitions and Events/2024 WAG/"/>
    </mc:Choice>
  </mc:AlternateContent>
  <xr:revisionPtr revIDLastSave="0" documentId="8_{6B4DF2A5-B658-4BA7-84B0-C01F85F8E12A}" xr6:coauthVersionLast="47" xr6:coauthVersionMax="47" xr10:uidLastSave="{00000000-0000-0000-0000-000000000000}"/>
  <bookViews>
    <workbookView xWindow="-57720" yWindow="-1200" windowWidth="29040" windowHeight="15720" xr2:uid="{20DE1883-7F89-4DEF-96D7-5F673C6E4682}"/>
  </bookViews>
  <sheets>
    <sheet name="WAR" sheetId="1" r:id="rId1"/>
    <sheet name="WAR Finals" sheetId="3" r:id="rId2"/>
    <sheet name="MAR" sheetId="2" r:id="rId3"/>
    <sheet name="MAR Finals" sheetId="4" r:id="rId4"/>
    <sheet name="WAP" sheetId="5" r:id="rId5"/>
    <sheet name="WAP Finals" sheetId="7" r:id="rId6"/>
    <sheet name="MAP" sheetId="6" r:id="rId7"/>
    <sheet name="MAP Finals" sheetId="8" r:id="rId8"/>
    <sheet name="Para" sheetId="9" r:id="rId9"/>
  </sheets>
  <calcPr calcId="0"/>
</workbook>
</file>

<file path=xl/calcChain.xml><?xml version="1.0" encoding="utf-8"?>
<calcChain xmlns="http://schemas.openxmlformats.org/spreadsheetml/2006/main">
  <c r="T27" i="4" l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A18" i="4"/>
  <c r="A17" i="4"/>
  <c r="A16" i="4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A18" i="3"/>
  <c r="A17" i="3"/>
  <c r="A16" i="3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19" i="8"/>
  <c r="A18" i="8"/>
  <c r="A17" i="8"/>
  <c r="A16" i="8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18" i="7"/>
  <c r="A17" i="7"/>
  <c r="A16" i="7"/>
  <c r="A15" i="7"/>
  <c r="K6" i="9"/>
  <c r="J6" i="9"/>
  <c r="I6" i="9"/>
  <c r="H6" i="9"/>
  <c r="G6" i="9"/>
  <c r="F6" i="9"/>
  <c r="E6" i="9"/>
  <c r="D6" i="9"/>
  <c r="C6" i="9"/>
  <c r="B6" i="9"/>
  <c r="A6" i="9"/>
  <c r="K5" i="9"/>
  <c r="J5" i="9"/>
  <c r="I5" i="9"/>
  <c r="H5" i="9"/>
  <c r="G5" i="9"/>
  <c r="F5" i="9"/>
  <c r="E5" i="9"/>
  <c r="D5" i="9"/>
  <c r="C5" i="9"/>
  <c r="B5" i="9"/>
  <c r="K4" i="9"/>
  <c r="J4" i="9"/>
  <c r="C4" i="9"/>
  <c r="B4" i="9"/>
  <c r="A4" i="9"/>
  <c r="A3" i="9"/>
  <c r="A2" i="9"/>
  <c r="A1" i="9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4" i="8"/>
  <c r="A3" i="8"/>
  <c r="A2" i="8"/>
  <c r="A1" i="8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A4" i="7"/>
  <c r="A3" i="7"/>
  <c r="A2" i="7"/>
  <c r="A1" i="7"/>
  <c r="F32" i="6"/>
  <c r="E32" i="6"/>
  <c r="D32" i="6"/>
  <c r="C32" i="6"/>
  <c r="B32" i="6"/>
  <c r="F31" i="6"/>
  <c r="E31" i="6"/>
  <c r="D31" i="6"/>
  <c r="C31" i="6"/>
  <c r="B31" i="6"/>
  <c r="F30" i="6"/>
  <c r="E30" i="6"/>
  <c r="D30" i="6"/>
  <c r="C30" i="6"/>
  <c r="B30" i="6"/>
  <c r="F29" i="6"/>
  <c r="E29" i="6"/>
  <c r="D29" i="6"/>
  <c r="C29" i="6"/>
  <c r="B29" i="6"/>
  <c r="F28" i="6"/>
  <c r="E28" i="6"/>
  <c r="D28" i="6"/>
  <c r="C28" i="6"/>
  <c r="B28" i="6"/>
  <c r="F27" i="6"/>
  <c r="E27" i="6"/>
  <c r="D27" i="6"/>
  <c r="C27" i="6"/>
  <c r="B27" i="6"/>
  <c r="F26" i="6"/>
  <c r="E26" i="6"/>
  <c r="D26" i="6"/>
  <c r="C26" i="6"/>
  <c r="B26" i="6"/>
  <c r="F25" i="6"/>
  <c r="E25" i="6"/>
  <c r="D25" i="6"/>
  <c r="C25" i="6"/>
  <c r="B25" i="6"/>
  <c r="F24" i="6"/>
  <c r="E24" i="6"/>
  <c r="D24" i="6"/>
  <c r="C24" i="6"/>
  <c r="B24" i="6"/>
  <c r="F23" i="6"/>
  <c r="E23" i="6"/>
  <c r="D23" i="6"/>
  <c r="C23" i="6"/>
  <c r="B23" i="6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8" i="6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F15" i="6"/>
  <c r="E15" i="6"/>
  <c r="D15" i="6"/>
  <c r="C15" i="6"/>
  <c r="B15" i="6"/>
  <c r="F14" i="6"/>
  <c r="E14" i="6"/>
  <c r="D14" i="6"/>
  <c r="C14" i="6"/>
  <c r="B14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10" i="6"/>
  <c r="E10" i="6"/>
  <c r="D10" i="6"/>
  <c r="C10" i="6"/>
  <c r="B10" i="6"/>
  <c r="F9" i="6"/>
  <c r="E9" i="6"/>
  <c r="D9" i="6"/>
  <c r="C9" i="6"/>
  <c r="B9" i="6"/>
  <c r="F8" i="6"/>
  <c r="E8" i="6"/>
  <c r="D8" i="6"/>
  <c r="C8" i="6"/>
  <c r="B8" i="6"/>
  <c r="F7" i="6"/>
  <c r="E7" i="6"/>
  <c r="D7" i="6"/>
  <c r="C7" i="6"/>
  <c r="B7" i="6"/>
  <c r="F6" i="6"/>
  <c r="E6" i="6"/>
  <c r="D6" i="6"/>
  <c r="C6" i="6"/>
  <c r="B6" i="6"/>
  <c r="F5" i="6"/>
  <c r="E5" i="6"/>
  <c r="D5" i="6"/>
  <c r="C5" i="6"/>
  <c r="B5" i="6"/>
  <c r="F4" i="6"/>
  <c r="E4" i="6"/>
  <c r="D4" i="6"/>
  <c r="C4" i="6"/>
  <c r="B4" i="6"/>
  <c r="A4" i="6"/>
  <c r="A3" i="6"/>
  <c r="A2" i="6"/>
  <c r="A1" i="6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F16" i="5"/>
  <c r="E16" i="5"/>
  <c r="D16" i="5"/>
  <c r="C16" i="5"/>
  <c r="B16" i="5"/>
  <c r="F15" i="5"/>
  <c r="E15" i="5"/>
  <c r="D15" i="5"/>
  <c r="C15" i="5"/>
  <c r="B15" i="5"/>
  <c r="F14" i="5"/>
  <c r="E14" i="5"/>
  <c r="D14" i="5"/>
  <c r="C14" i="5"/>
  <c r="B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F8" i="5"/>
  <c r="E8" i="5"/>
  <c r="D8" i="5"/>
  <c r="C8" i="5"/>
  <c r="B8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4" i="5"/>
  <c r="E4" i="5"/>
  <c r="D4" i="5"/>
  <c r="C4" i="5"/>
  <c r="B4" i="5"/>
  <c r="A4" i="5"/>
  <c r="A3" i="5"/>
  <c r="A2" i="5"/>
  <c r="A1" i="5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4" i="4"/>
  <c r="A3" i="4"/>
  <c r="A2" i="4"/>
  <c r="A1" i="4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A3" i="3"/>
  <c r="A2" i="3"/>
  <c r="A1" i="3"/>
  <c r="A1" i="2"/>
  <c r="A2" i="2"/>
  <c r="A3" i="2"/>
  <c r="A4" i="2"/>
  <c r="B4" i="2"/>
  <c r="C4" i="2"/>
  <c r="D4" i="2"/>
  <c r="E4" i="2"/>
  <c r="F4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B65" i="2"/>
  <c r="C65" i="2"/>
  <c r="D65" i="2"/>
  <c r="E65" i="2"/>
  <c r="F65" i="2"/>
  <c r="B66" i="2"/>
  <c r="C66" i="2"/>
  <c r="D66" i="2"/>
  <c r="E66" i="2"/>
  <c r="F66" i="2"/>
  <c r="B67" i="2"/>
  <c r="C67" i="2"/>
  <c r="D67" i="2"/>
  <c r="E67" i="2"/>
  <c r="F67" i="2"/>
  <c r="B68" i="2"/>
  <c r="C68" i="2"/>
  <c r="D68" i="2"/>
  <c r="E68" i="2"/>
  <c r="F68" i="2"/>
  <c r="B69" i="2"/>
  <c r="C69" i="2"/>
  <c r="D69" i="2"/>
  <c r="E69" i="2"/>
  <c r="F69" i="2"/>
  <c r="B70" i="2"/>
  <c r="C70" i="2"/>
  <c r="D70" i="2"/>
  <c r="E70" i="2"/>
  <c r="F70" i="2"/>
  <c r="B71" i="2"/>
  <c r="C71" i="2"/>
  <c r="D71" i="2"/>
  <c r="E71" i="2"/>
  <c r="F71" i="2"/>
  <c r="B72" i="2"/>
  <c r="C72" i="2"/>
  <c r="D72" i="2"/>
  <c r="E72" i="2"/>
  <c r="F72" i="2"/>
  <c r="B73" i="2"/>
  <c r="C73" i="2"/>
  <c r="D73" i="2"/>
  <c r="E73" i="2"/>
  <c r="F73" i="2"/>
  <c r="B74" i="2"/>
  <c r="C74" i="2"/>
  <c r="D74" i="2"/>
  <c r="E74" i="2"/>
  <c r="F74" i="2"/>
  <c r="B75" i="2"/>
  <c r="C75" i="2"/>
  <c r="D75" i="2"/>
  <c r="E75" i="2"/>
  <c r="F75" i="2"/>
  <c r="B76" i="2"/>
  <c r="C76" i="2"/>
  <c r="D76" i="2"/>
  <c r="E76" i="2"/>
  <c r="F76" i="2"/>
  <c r="A1" i="1"/>
  <c r="A2" i="1"/>
  <c r="A3" i="1"/>
  <c r="A4" i="1"/>
  <c r="B4" i="1"/>
  <c r="C4" i="1"/>
  <c r="D4" i="1"/>
  <c r="E4" i="1"/>
  <c r="F4" i="1"/>
  <c r="B5" i="1"/>
  <c r="C5" i="1"/>
  <c r="D5" i="1"/>
  <c r="E5" i="1"/>
  <c r="F5" i="1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F25" i="1"/>
  <c r="B26" i="1"/>
  <c r="C26" i="1"/>
  <c r="D26" i="1"/>
  <c r="E26" i="1"/>
  <c r="F26" i="1"/>
  <c r="B27" i="1"/>
  <c r="C27" i="1"/>
  <c r="D27" i="1"/>
  <c r="E27" i="1"/>
  <c r="F27" i="1"/>
  <c r="B28" i="1"/>
  <c r="C28" i="1"/>
  <c r="D28" i="1"/>
  <c r="E28" i="1"/>
  <c r="F28" i="1"/>
  <c r="B29" i="1"/>
  <c r="C29" i="1"/>
  <c r="D29" i="1"/>
  <c r="E29" i="1"/>
  <c r="F29" i="1"/>
  <c r="B30" i="1"/>
  <c r="C30" i="1"/>
  <c r="D30" i="1"/>
  <c r="E30" i="1"/>
  <c r="F30" i="1"/>
  <c r="B31" i="1"/>
  <c r="C31" i="1"/>
  <c r="D31" i="1"/>
  <c r="E31" i="1"/>
  <c r="F31" i="1"/>
  <c r="B32" i="1"/>
  <c r="C32" i="1"/>
  <c r="D32" i="1"/>
  <c r="E32" i="1"/>
  <c r="F32" i="1"/>
  <c r="B33" i="1"/>
  <c r="C33" i="1"/>
  <c r="D33" i="1"/>
  <c r="E33" i="1"/>
  <c r="F33" i="1"/>
  <c r="B34" i="1"/>
  <c r="C34" i="1"/>
  <c r="D34" i="1"/>
  <c r="E34" i="1"/>
  <c r="F34" i="1"/>
  <c r="B35" i="1"/>
  <c r="C35" i="1"/>
  <c r="D35" i="1"/>
  <c r="E35" i="1"/>
  <c r="F35" i="1"/>
  <c r="B36" i="1"/>
  <c r="C36" i="1"/>
  <c r="D36" i="1"/>
  <c r="E36" i="1"/>
  <c r="F36" i="1"/>
  <c r="B37" i="1"/>
  <c r="C37" i="1"/>
  <c r="D37" i="1"/>
  <c r="E37" i="1"/>
  <c r="F37" i="1"/>
  <c r="B38" i="1"/>
  <c r="C38" i="1"/>
  <c r="D38" i="1"/>
  <c r="E38" i="1"/>
  <c r="F38" i="1"/>
  <c r="B39" i="1"/>
  <c r="C39" i="1"/>
  <c r="D39" i="1"/>
  <c r="E39" i="1"/>
  <c r="F39" i="1"/>
  <c r="B40" i="1"/>
  <c r="C40" i="1"/>
  <c r="D40" i="1"/>
  <c r="E40" i="1"/>
  <c r="F40" i="1"/>
  <c r="B41" i="1"/>
  <c r="C41" i="1"/>
  <c r="D41" i="1"/>
  <c r="E41" i="1"/>
  <c r="F41" i="1"/>
  <c r="B42" i="1"/>
  <c r="C42" i="1"/>
  <c r="D42" i="1"/>
  <c r="E42" i="1"/>
  <c r="F42" i="1"/>
  <c r="B43" i="1"/>
  <c r="C43" i="1"/>
  <c r="D43" i="1"/>
  <c r="E43" i="1"/>
  <c r="F43" i="1"/>
  <c r="B44" i="1"/>
  <c r="C44" i="1"/>
  <c r="D44" i="1"/>
  <c r="E44" i="1"/>
  <c r="F44" i="1"/>
  <c r="B45" i="1"/>
  <c r="C45" i="1"/>
  <c r="D45" i="1"/>
  <c r="E45" i="1"/>
  <c r="F45" i="1"/>
  <c r="B46" i="1"/>
  <c r="C46" i="1"/>
  <c r="D46" i="1"/>
  <c r="E46" i="1"/>
  <c r="F46" i="1"/>
  <c r="B47" i="1"/>
  <c r="C47" i="1"/>
  <c r="D47" i="1"/>
  <c r="E47" i="1"/>
  <c r="F47" i="1"/>
  <c r="B48" i="1"/>
  <c r="C48" i="1"/>
  <c r="D48" i="1"/>
  <c r="E48" i="1"/>
  <c r="F48" i="1"/>
  <c r="B49" i="1"/>
  <c r="C49" i="1"/>
  <c r="D49" i="1"/>
  <c r="E49" i="1"/>
  <c r="F49" i="1"/>
  <c r="B50" i="1"/>
  <c r="C50" i="1"/>
  <c r="D50" i="1"/>
  <c r="E50" i="1"/>
  <c r="F50" i="1"/>
  <c r="B51" i="1"/>
  <c r="C51" i="1"/>
  <c r="D51" i="1"/>
  <c r="E51" i="1"/>
  <c r="F51" i="1"/>
  <c r="B52" i="1"/>
  <c r="C52" i="1"/>
  <c r="D52" i="1"/>
  <c r="E52" i="1"/>
  <c r="F52" i="1"/>
  <c r="B53" i="1"/>
  <c r="C53" i="1"/>
  <c r="D53" i="1"/>
  <c r="E53" i="1"/>
  <c r="F53" i="1"/>
  <c r="B54" i="1"/>
  <c r="C54" i="1"/>
  <c r="D54" i="1"/>
  <c r="E54" i="1"/>
  <c r="F54" i="1"/>
  <c r="B55" i="1"/>
  <c r="C55" i="1"/>
  <c r="D55" i="1"/>
  <c r="E55" i="1"/>
  <c r="F55" i="1"/>
  <c r="B56" i="1"/>
  <c r="C56" i="1"/>
  <c r="D56" i="1"/>
  <c r="E56" i="1"/>
  <c r="F56" i="1"/>
  <c r="B57" i="1"/>
  <c r="C57" i="1"/>
  <c r="D57" i="1"/>
  <c r="E57" i="1"/>
  <c r="F57" i="1"/>
  <c r="B58" i="1"/>
  <c r="C58" i="1"/>
  <c r="D58" i="1"/>
  <c r="E58" i="1"/>
  <c r="F58" i="1"/>
  <c r="B59" i="1"/>
  <c r="C59" i="1"/>
  <c r="D59" i="1"/>
  <c r="E59" i="1"/>
  <c r="F59" i="1"/>
  <c r="B60" i="1"/>
  <c r="C60" i="1"/>
  <c r="D60" i="1"/>
  <c r="E60" i="1"/>
  <c r="F60" i="1"/>
  <c r="B61" i="1"/>
  <c r="C61" i="1"/>
  <c r="D61" i="1"/>
  <c r="E61" i="1"/>
  <c r="F61" i="1"/>
  <c r="B62" i="1"/>
  <c r="C62" i="1"/>
  <c r="D62" i="1"/>
  <c r="E62" i="1"/>
  <c r="F62" i="1"/>
  <c r="B63" i="1"/>
  <c r="C63" i="1"/>
  <c r="D63" i="1"/>
  <c r="E63" i="1"/>
  <c r="F63" i="1"/>
  <c r="B64" i="1"/>
  <c r="C64" i="1"/>
  <c r="D64" i="1"/>
  <c r="E64" i="1"/>
  <c r="F64" i="1"/>
  <c r="B65" i="1"/>
  <c r="C65" i="1"/>
  <c r="D65" i="1"/>
  <c r="E65" i="1"/>
  <c r="F65" i="1"/>
  <c r="B66" i="1"/>
  <c r="C66" i="1"/>
  <c r="D66" i="1"/>
  <c r="E66" i="1"/>
  <c r="F66" i="1"/>
  <c r="B67" i="1"/>
  <c r="C67" i="1"/>
  <c r="D67" i="1"/>
  <c r="E67" i="1"/>
  <c r="F67" i="1"/>
  <c r="B68" i="1"/>
  <c r="C68" i="1"/>
  <c r="D68" i="1"/>
  <c r="E68" i="1"/>
  <c r="F68" i="1"/>
  <c r="B69" i="1"/>
  <c r="C69" i="1"/>
  <c r="D69" i="1"/>
  <c r="E69" i="1"/>
  <c r="F69" i="1"/>
  <c r="B70" i="1"/>
  <c r="C70" i="1"/>
  <c r="D70" i="1"/>
  <c r="E70" i="1"/>
  <c r="F70" i="1"/>
  <c r="B71" i="1"/>
  <c r="C71" i="1"/>
  <c r="D71" i="1"/>
  <c r="E71" i="1"/>
  <c r="F71" i="1"/>
  <c r="B72" i="1"/>
  <c r="C72" i="1"/>
  <c r="D72" i="1"/>
  <c r="E72" i="1"/>
  <c r="F72" i="1"/>
  <c r="B73" i="1"/>
  <c r="C73" i="1"/>
  <c r="D73" i="1"/>
  <c r="E73" i="1"/>
  <c r="F73" i="1"/>
  <c r="B74" i="1"/>
  <c r="C74" i="1"/>
  <c r="D74" i="1"/>
  <c r="E74" i="1"/>
  <c r="F74" i="1"/>
  <c r="B75" i="1"/>
  <c r="C75" i="1"/>
  <c r="D75" i="1"/>
  <c r="E75" i="1"/>
  <c r="F75" i="1"/>
  <c r="B76" i="1"/>
  <c r="C76" i="1"/>
  <c r="D76" i="1"/>
  <c r="E76" i="1"/>
  <c r="F76" i="1"/>
  <c r="B77" i="1"/>
  <c r="C77" i="1"/>
  <c r="D77" i="1"/>
  <c r="E77" i="1"/>
  <c r="F77" i="1"/>
  <c r="B78" i="1"/>
  <c r="C78" i="1"/>
  <c r="D78" i="1"/>
  <c r="E78" i="1"/>
  <c r="F78" i="1"/>
  <c r="B79" i="1"/>
  <c r="C79" i="1"/>
  <c r="D79" i="1"/>
  <c r="E79" i="1"/>
  <c r="F79" i="1"/>
  <c r="B80" i="1"/>
  <c r="C80" i="1"/>
  <c r="D80" i="1"/>
  <c r="E80" i="1"/>
  <c r="F80" i="1"/>
  <c r="B81" i="1"/>
  <c r="C81" i="1"/>
  <c r="D81" i="1"/>
  <c r="E81" i="1"/>
  <c r="F81" i="1"/>
  <c r="B82" i="1"/>
  <c r="C82" i="1"/>
  <c r="D82" i="1"/>
  <c r="E82" i="1"/>
  <c r="F82" i="1"/>
  <c r="B83" i="1"/>
  <c r="C83" i="1"/>
  <c r="D83" i="1"/>
  <c r="E83" i="1"/>
  <c r="F83" i="1"/>
  <c r="B84" i="1"/>
  <c r="C84" i="1"/>
  <c r="D84" i="1"/>
  <c r="E84" i="1"/>
  <c r="F84" i="1"/>
  <c r="B85" i="1"/>
  <c r="C85" i="1"/>
  <c r="D85" i="1"/>
  <c r="E85" i="1"/>
  <c r="F85" i="1"/>
  <c r="B86" i="1"/>
  <c r="C86" i="1"/>
  <c r="D86" i="1"/>
  <c r="E86" i="1"/>
  <c r="F86" i="1"/>
  <c r="B87" i="1"/>
  <c r="C87" i="1"/>
  <c r="D87" i="1"/>
  <c r="E87" i="1"/>
  <c r="F87" i="1"/>
  <c r="B88" i="1"/>
  <c r="C88" i="1"/>
  <c r="D88" i="1"/>
  <c r="E88" i="1"/>
  <c r="F88" i="1"/>
  <c r="B89" i="1"/>
  <c r="C89" i="1"/>
  <c r="D89" i="1"/>
  <c r="E89" i="1"/>
  <c r="F89" i="1"/>
  <c r="B90" i="1"/>
  <c r="C90" i="1"/>
  <c r="D90" i="1"/>
  <c r="E90" i="1"/>
  <c r="F90" i="1"/>
  <c r="B91" i="1"/>
  <c r="C91" i="1"/>
  <c r="D91" i="1"/>
  <c r="E91" i="1"/>
  <c r="F91" i="1"/>
  <c r="B92" i="1"/>
  <c r="C92" i="1"/>
  <c r="D92" i="1"/>
  <c r="E92" i="1"/>
  <c r="F92" i="1"/>
  <c r="B93" i="1"/>
  <c r="C93" i="1"/>
  <c r="D93" i="1"/>
  <c r="E93" i="1"/>
  <c r="F93" i="1"/>
  <c r="B94" i="1"/>
  <c r="C94" i="1"/>
  <c r="D94" i="1"/>
  <c r="E94" i="1"/>
  <c r="F94" i="1"/>
  <c r="B95" i="1"/>
  <c r="C95" i="1"/>
  <c r="D95" i="1"/>
  <c r="E95" i="1"/>
  <c r="F95" i="1"/>
  <c r="B96" i="1"/>
  <c r="C96" i="1"/>
  <c r="D96" i="1"/>
  <c r="E96" i="1"/>
  <c r="F96" i="1"/>
  <c r="B97" i="1"/>
  <c r="C97" i="1"/>
  <c r="D97" i="1"/>
  <c r="E97" i="1"/>
  <c r="F97" i="1"/>
  <c r="B98" i="1"/>
  <c r="C98" i="1"/>
  <c r="D98" i="1"/>
  <c r="E98" i="1"/>
  <c r="F98" i="1"/>
  <c r="B99" i="1"/>
  <c r="C99" i="1"/>
  <c r="D99" i="1"/>
  <c r="E99" i="1"/>
  <c r="F99" i="1"/>
  <c r="B100" i="1"/>
  <c r="C100" i="1"/>
  <c r="D100" i="1"/>
  <c r="E100" i="1"/>
  <c r="F100" i="1"/>
  <c r="B101" i="1"/>
  <c r="C101" i="1"/>
  <c r="D101" i="1"/>
  <c r="E101" i="1"/>
  <c r="F101" i="1"/>
  <c r="B102" i="1"/>
  <c r="C102" i="1"/>
  <c r="D102" i="1"/>
  <c r="E102" i="1"/>
  <c r="F102" i="1"/>
  <c r="B103" i="1"/>
  <c r="C103" i="1"/>
  <c r="D103" i="1"/>
  <c r="E103" i="1"/>
  <c r="F103" i="1"/>
  <c r="B104" i="1"/>
  <c r="C104" i="1"/>
  <c r="D104" i="1"/>
  <c r="E104" i="1"/>
  <c r="F104" i="1"/>
  <c r="B105" i="1"/>
  <c r="C105" i="1"/>
  <c r="D105" i="1"/>
  <c r="E105" i="1"/>
  <c r="F105" i="1"/>
  <c r="B106" i="1"/>
  <c r="C106" i="1"/>
  <c r="D106" i="1"/>
  <c r="E106" i="1"/>
  <c r="F106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3A8B-59A8-47A2-9E50-C3920AF0A6CE}">
  <dimension ref="A1:F106"/>
  <sheetViews>
    <sheetView tabSelected="1" workbookViewId="0">
      <selection activeCell="J22" sqref="J22"/>
    </sheetView>
  </sheetViews>
  <sheetFormatPr defaultRowHeight="15" x14ac:dyDescent="0.25"/>
  <cols>
    <col min="1" max="1" width="34.140625" bestFit="1" customWidth="1"/>
    <col min="2" max="2" width="35.85546875" bestFit="1" customWidth="1"/>
    <col min="3" max="3" width="20.5703125" bestFit="1" customWidth="1"/>
    <col min="4" max="4" width="5.7109375" bestFit="1" customWidth="1"/>
    <col min="5" max="5" width="10" bestFit="1" customWidth="1"/>
    <col min="6" max="6" width="9.5703125" bestFit="1" customWidth="1"/>
  </cols>
  <sheetData>
    <row r="1" spans="1:6" x14ac:dyDescent="0.25">
      <c r="A1" t="str">
        <f>"2024 USAS Winter Air Gun Camp Perry"</f>
        <v>2024 USAS Winter Air Gun Camp Perry</v>
      </c>
    </row>
    <row r="2" spans="1:6" x14ac:dyDescent="0.25">
      <c r="A2" t="str">
        <f>"Open Qualification - Women"</f>
        <v>Open Qualification - Women</v>
      </c>
    </row>
    <row r="3" spans="1:6" x14ac:dyDescent="0.25">
      <c r="A3" t="str">
        <f>""</f>
        <v/>
      </c>
    </row>
    <row r="4" spans="1:6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"D1 60"</f>
        <v>D1 60</v>
      </c>
      <c r="E4" t="str">
        <f>"D2 60 Rifle"</f>
        <v>D2 60 Rifle</v>
      </c>
      <c r="F4" t="str">
        <f>"Aggregate"</f>
        <v>Aggregate</v>
      </c>
    </row>
    <row r="5" spans="1:6" x14ac:dyDescent="0.25">
      <c r="A5">
        <v>1</v>
      </c>
      <c r="B5" t="str">
        <f>"Weisz, Alison, SGT, USA (54339)"</f>
        <v>Weisz, Alison, SGT, USA (54339)</v>
      </c>
      <c r="C5" t="str">
        <f>"Belgrade, MT"</f>
        <v>Belgrade, MT</v>
      </c>
      <c r="D5" t="str">
        <f>"628.7"</f>
        <v>628.7</v>
      </c>
      <c r="E5" t="str">
        <f>"627.2"</f>
        <v>627.2</v>
      </c>
      <c r="F5" t="str">
        <f>"1,255.9"</f>
        <v>1,255.9</v>
      </c>
    </row>
    <row r="6" spans="1:6" x14ac:dyDescent="0.25">
      <c r="A6">
        <v>2</v>
      </c>
      <c r="B6" t="str">
        <f>"Blake, Ashlyn (408788)"</f>
        <v>Blake, Ashlyn (408788)</v>
      </c>
      <c r="C6" t="str">
        <f>"Sparta, NJ"</f>
        <v>Sparta, NJ</v>
      </c>
      <c r="D6" t="str">
        <f>"626.2"</f>
        <v>626.2</v>
      </c>
      <c r="E6" t="str">
        <f>"627.4"</f>
        <v>627.4</v>
      </c>
      <c r="F6" t="str">
        <f>"1,253.6"</f>
        <v>1,253.6</v>
      </c>
    </row>
    <row r="7" spans="1:6" x14ac:dyDescent="0.25">
      <c r="A7">
        <v>3</v>
      </c>
      <c r="B7" t="str">
        <f>"Camp, Camryn (364938)"</f>
        <v>Camp, Camryn (364938)</v>
      </c>
      <c r="C7" t="str">
        <f>"Hillsboro , TX"</f>
        <v>Hillsboro , TX</v>
      </c>
      <c r="D7" t="str">
        <f>"627.4"</f>
        <v>627.4</v>
      </c>
      <c r="E7" t="str">
        <f>"624.7"</f>
        <v>624.7</v>
      </c>
      <c r="F7" t="str">
        <f>"1,252.1"</f>
        <v>1,252.1</v>
      </c>
    </row>
    <row r="8" spans="1:6" x14ac:dyDescent="0.25">
      <c r="A8">
        <v>4</v>
      </c>
      <c r="B8" t="str">
        <f>"Goldfaden, Ella (487567)"</f>
        <v>Goldfaden, Ella (487567)</v>
      </c>
      <c r="C8" t="str">
        <f>"Statesboro, GA"</f>
        <v>Statesboro, GA</v>
      </c>
      <c r="D8" t="str">
        <f>"624.2"</f>
        <v>624.2</v>
      </c>
      <c r="E8" t="str">
        <f>"627.8"</f>
        <v>627.8</v>
      </c>
      <c r="F8" t="str">
        <f>"1,252.0"</f>
        <v>1,252.0</v>
      </c>
    </row>
    <row r="9" spans="1:6" x14ac:dyDescent="0.25">
      <c r="A9">
        <v>5</v>
      </c>
      <c r="B9" t="str">
        <f>"Walrath, Emme (369838)"</f>
        <v>Walrath, Emme (369838)</v>
      </c>
      <c r="C9" t="str">
        <f>"Kenosha, WI"</f>
        <v>Kenosha, WI</v>
      </c>
      <c r="D9" t="str">
        <f>"625.5"</f>
        <v>625.5</v>
      </c>
      <c r="E9" t="str">
        <f>"623.6"</f>
        <v>623.6</v>
      </c>
      <c r="F9" t="str">
        <f>"1,249.1"</f>
        <v>1,249.1</v>
      </c>
    </row>
    <row r="10" spans="1:6" x14ac:dyDescent="0.25">
      <c r="A10">
        <v>6</v>
      </c>
      <c r="B10" t="str">
        <f>"Butler, Bremen (301932)"</f>
        <v>Butler, Bremen (301932)</v>
      </c>
      <c r="C10" t="str">
        <f>"Fort Wayne, IN"</f>
        <v>Fort Wayne, IN</v>
      </c>
      <c r="D10" t="str">
        <f>"623.9"</f>
        <v>623.9</v>
      </c>
      <c r="E10" t="str">
        <f>"624.8"</f>
        <v>624.8</v>
      </c>
      <c r="F10" t="str">
        <f>"1,248.7"</f>
        <v>1,248.7</v>
      </c>
    </row>
    <row r="11" spans="1:6" x14ac:dyDescent="0.25">
      <c r="A11">
        <v>7</v>
      </c>
      <c r="B11" t="str">
        <f>"Probst, Elizabeth (290200)"</f>
        <v>Probst, Elizabeth (290200)</v>
      </c>
      <c r="C11" t="str">
        <f>"Brady, TX"</f>
        <v>Brady, TX</v>
      </c>
      <c r="D11" t="str">
        <f>"622.4"</f>
        <v>622.4</v>
      </c>
      <c r="E11" t="str">
        <f>"623.5"</f>
        <v>623.5</v>
      </c>
      <c r="F11" t="str">
        <f>"1,245.9"</f>
        <v>1,245.9</v>
      </c>
    </row>
    <row r="12" spans="1:6" x14ac:dyDescent="0.25">
      <c r="A12">
        <v>8</v>
      </c>
      <c r="B12" t="str">
        <f>"Kelly, Alana (168868)"</f>
        <v>Kelly, Alana (168868)</v>
      </c>
      <c r="C12" t="str">
        <f>"Port Clinton, OH"</f>
        <v>Port Clinton, OH</v>
      </c>
      <c r="D12" t="str">
        <f>"624.7"</f>
        <v>624.7</v>
      </c>
      <c r="E12" t="str">
        <f>"621.2"</f>
        <v>621.2</v>
      </c>
      <c r="F12" t="str">
        <f>"1,245.9"</f>
        <v>1,245.9</v>
      </c>
    </row>
    <row r="13" spans="1:6" x14ac:dyDescent="0.25">
      <c r="A13">
        <v>9</v>
      </c>
      <c r="B13" t="str">
        <f>"Baldwin, Isabella (347836)"</f>
        <v>Baldwin, Isabella (347836)</v>
      </c>
      <c r="C13" t="str">
        <f>"Nashville, TN"</f>
        <v>Nashville, TN</v>
      </c>
      <c r="D13" t="str">
        <f>"620.4"</f>
        <v>620.4</v>
      </c>
      <c r="E13" t="str">
        <f>"624.5"</f>
        <v>624.5</v>
      </c>
      <c r="F13" t="str">
        <f>"1,244.9"</f>
        <v>1,244.9</v>
      </c>
    </row>
    <row r="14" spans="1:6" x14ac:dyDescent="0.25">
      <c r="A14">
        <v>10</v>
      </c>
      <c r="B14" t="str">
        <f>"Valenta, Carlee (339877)"</f>
        <v>Valenta, Carlee (339877)</v>
      </c>
      <c r="C14" t="str">
        <f>"Harrison City, PA"</f>
        <v>Harrison City, PA</v>
      </c>
      <c r="D14" t="str">
        <f>"618.6"</f>
        <v>618.6</v>
      </c>
      <c r="E14" t="str">
        <f>"623.7"</f>
        <v>623.7</v>
      </c>
      <c r="F14" t="str">
        <f>"1,242.3"</f>
        <v>1,242.3</v>
      </c>
    </row>
    <row r="15" spans="1:6" x14ac:dyDescent="0.25">
      <c r="A15">
        <v>11</v>
      </c>
      <c r="B15" t="str">
        <f>"Miller, Kelly (431659)"</f>
        <v>Miller, Kelly (431659)</v>
      </c>
      <c r="C15" t="str">
        <f>"Darien, CT"</f>
        <v>Darien, CT</v>
      </c>
      <c r="D15" t="str">
        <f>"618.8"</f>
        <v>618.8</v>
      </c>
      <c r="E15" t="str">
        <f>"622.3"</f>
        <v>622.3</v>
      </c>
      <c r="F15" t="str">
        <f>"1,241.1"</f>
        <v>1,241.1</v>
      </c>
    </row>
    <row r="16" spans="1:6" x14ac:dyDescent="0.25">
      <c r="A16">
        <v>12</v>
      </c>
      <c r="B16" t="str">
        <f>"Yang, Emily (447254)"</f>
        <v>Yang, Emily (447254)</v>
      </c>
      <c r="C16" t="str">
        <f>"Maple, ON"</f>
        <v>Maple, ON</v>
      </c>
      <c r="D16" t="str">
        <f>"620.5"</f>
        <v>620.5</v>
      </c>
      <c r="E16" t="str">
        <f>"620.4"</f>
        <v>620.4</v>
      </c>
      <c r="F16" t="str">
        <f>"1,240.9"</f>
        <v>1,240.9</v>
      </c>
    </row>
    <row r="17" spans="1:6" x14ac:dyDescent="0.25">
      <c r="A17">
        <v>13</v>
      </c>
      <c r="B17" t="str">
        <f>"Pruden, Mackenzie (293546)"</f>
        <v>Pruden, Mackenzie (293546)</v>
      </c>
      <c r="C17" t="str">
        <f>"Fulshear, TX"</f>
        <v>Fulshear, TX</v>
      </c>
      <c r="D17" t="str">
        <f>"620.7"</f>
        <v>620.7</v>
      </c>
      <c r="E17" t="str">
        <f>"618.9"</f>
        <v>618.9</v>
      </c>
      <c r="F17" t="str">
        <f>"1,239.6"</f>
        <v>1,239.6</v>
      </c>
    </row>
    <row r="18" spans="1:6" x14ac:dyDescent="0.25">
      <c r="A18">
        <v>14</v>
      </c>
      <c r="B18" t="str">
        <f>"Wentland, Piper (374263)"</f>
        <v>Wentland, Piper (374263)</v>
      </c>
      <c r="C18" t="str">
        <f>"Ft Wayne, IN"</f>
        <v>Ft Wayne, IN</v>
      </c>
      <c r="D18" t="str">
        <f>"617.9"</f>
        <v>617.9</v>
      </c>
      <c r="E18" t="str">
        <f>"620.5"</f>
        <v>620.5</v>
      </c>
      <c r="F18" t="str">
        <f>"1,238.4"</f>
        <v>1,238.4</v>
      </c>
    </row>
    <row r="19" spans="1:6" x14ac:dyDescent="0.25">
      <c r="A19">
        <v>15</v>
      </c>
      <c r="B19" t="str">
        <f>"Palfrey, Sadie (385219)"</f>
        <v>Palfrey, Sadie (385219)</v>
      </c>
      <c r="C19" t="str">
        <f>"Indiana, PA"</f>
        <v>Indiana, PA</v>
      </c>
      <c r="D19" t="str">
        <f>"616.7"</f>
        <v>616.7</v>
      </c>
      <c r="E19" t="str">
        <f>"620.8"</f>
        <v>620.8</v>
      </c>
      <c r="F19" t="str">
        <f>"1,237.5"</f>
        <v>1,237.5</v>
      </c>
    </row>
    <row r="20" spans="1:6" x14ac:dyDescent="0.25">
      <c r="A20">
        <v>16</v>
      </c>
      <c r="B20" t="str">
        <f>"Sprague, Gabriella (231282)"</f>
        <v>Sprague, Gabriella (231282)</v>
      </c>
      <c r="C20" t="str">
        <f>"Falls Creek, PA"</f>
        <v>Falls Creek, PA</v>
      </c>
      <c r="D20" t="str">
        <f>"619.9"</f>
        <v>619.9</v>
      </c>
      <c r="E20" t="str">
        <f>"616.8"</f>
        <v>616.8</v>
      </c>
      <c r="F20" t="str">
        <f>"1,236.7"</f>
        <v>1,236.7</v>
      </c>
    </row>
    <row r="21" spans="1:6" x14ac:dyDescent="0.25">
      <c r="A21">
        <v>17</v>
      </c>
      <c r="B21" t="str">
        <f>"Williams, Kinzey (439242)"</f>
        <v>Williams, Kinzey (439242)</v>
      </c>
      <c r="C21" t="str">
        <f>"Everett, PA"</f>
        <v>Everett, PA</v>
      </c>
      <c r="D21" t="str">
        <f>"621.4"</f>
        <v>621.4</v>
      </c>
      <c r="E21" t="str">
        <f>"615.3"</f>
        <v>615.3</v>
      </c>
      <c r="F21" t="str">
        <f>"1,236.7"</f>
        <v>1,236.7</v>
      </c>
    </row>
    <row r="22" spans="1:6" x14ac:dyDescent="0.25">
      <c r="A22">
        <v>18</v>
      </c>
      <c r="B22" t="str">
        <f>"Robinson, Aleandra (400429)"</f>
        <v>Robinson, Aleandra (400429)</v>
      </c>
      <c r="C22" t="str">
        <f>"Aguada, PR"</f>
        <v>Aguada, PR</v>
      </c>
      <c r="D22" t="str">
        <f>"617.1"</f>
        <v>617.1</v>
      </c>
      <c r="E22" t="str">
        <f>"618.0"</f>
        <v>618.0</v>
      </c>
      <c r="F22" t="str">
        <f>"1,235.1"</f>
        <v>1,235.1</v>
      </c>
    </row>
    <row r="23" spans="1:6" x14ac:dyDescent="0.25">
      <c r="A23">
        <v>19</v>
      </c>
      <c r="B23" t="str">
        <f>"Thomas, Prisha (485123)"</f>
        <v>Thomas, Prisha (485123)</v>
      </c>
      <c r="C23" t="str">
        <f>"South Windsor, CT"</f>
        <v>South Windsor, CT</v>
      </c>
      <c r="D23" t="str">
        <f>"615.7"</f>
        <v>615.7</v>
      </c>
      <c r="E23" t="str">
        <f>"617.0"</f>
        <v>617.0</v>
      </c>
      <c r="F23" t="str">
        <f>"1,232.7"</f>
        <v>1,232.7</v>
      </c>
    </row>
    <row r="24" spans="1:6" x14ac:dyDescent="0.25">
      <c r="A24">
        <v>20</v>
      </c>
      <c r="B24" t="str">
        <f>"Butt, Emma (267360)"</f>
        <v>Butt, Emma (267360)</v>
      </c>
      <c r="C24" t="str">
        <f>"Franklin, MA"</f>
        <v>Franklin, MA</v>
      </c>
      <c r="D24" t="str">
        <f>"616.1"</f>
        <v>616.1</v>
      </c>
      <c r="E24" t="str">
        <f>"616.5"</f>
        <v>616.5</v>
      </c>
      <c r="F24" t="str">
        <f>"1,232.6"</f>
        <v>1,232.6</v>
      </c>
    </row>
    <row r="25" spans="1:6" x14ac:dyDescent="0.25">
      <c r="A25">
        <v>21</v>
      </c>
      <c r="B25" t="str">
        <f>"Bowden, Marley (410374)"</f>
        <v>Bowden, Marley (410374)</v>
      </c>
      <c r="C25" t="str">
        <f>"Harpersville, Al"</f>
        <v>Harpersville, Al</v>
      </c>
      <c r="D25" t="str">
        <f>"614.1"</f>
        <v>614.1</v>
      </c>
      <c r="E25" t="str">
        <f>"618.3"</f>
        <v>618.3</v>
      </c>
      <c r="F25" t="str">
        <f>"1,232.4"</f>
        <v>1,232.4</v>
      </c>
    </row>
    <row r="26" spans="1:6" x14ac:dyDescent="0.25">
      <c r="A26">
        <v>22</v>
      </c>
      <c r="B26" t="str">
        <f>"Paddock, Rachael (282179)"</f>
        <v>Paddock, Rachael (282179)</v>
      </c>
      <c r="C26" t="str">
        <f>"Perry, NY"</f>
        <v>Perry, NY</v>
      </c>
      <c r="D26" t="str">
        <f>"615.8"</f>
        <v>615.8</v>
      </c>
      <c r="E26" t="str">
        <f>"616.6"</f>
        <v>616.6</v>
      </c>
      <c r="F26" t="str">
        <f>"1,232.4"</f>
        <v>1,232.4</v>
      </c>
    </row>
    <row r="27" spans="1:6" x14ac:dyDescent="0.25">
      <c r="A27">
        <v>23</v>
      </c>
      <c r="B27" t="str">
        <f>"Singleton, Hailey (346661)"</f>
        <v>Singleton, Hailey (346661)</v>
      </c>
      <c r="C27" t="str">
        <f>"Bellevue, OH"</f>
        <v>Bellevue, OH</v>
      </c>
      <c r="D27" t="str">
        <f>"614.2"</f>
        <v>614.2</v>
      </c>
      <c r="E27" t="str">
        <f>"617.8"</f>
        <v>617.8</v>
      </c>
      <c r="F27" t="str">
        <f>"1,232.0"</f>
        <v>1,232.0</v>
      </c>
    </row>
    <row r="28" spans="1:6" x14ac:dyDescent="0.25">
      <c r="A28">
        <v>24</v>
      </c>
      <c r="B28" t="str">
        <f>"Bodrogi, Alexa  (406163)"</f>
        <v>Bodrogi, Alexa  (406163)</v>
      </c>
      <c r="C28" t="str">
        <f>"Bridgewater, NJ"</f>
        <v>Bridgewater, NJ</v>
      </c>
      <c r="D28" t="str">
        <f>"613.5"</f>
        <v>613.5</v>
      </c>
      <c r="E28" t="str">
        <f>"618.2"</f>
        <v>618.2</v>
      </c>
      <c r="F28" t="str">
        <f>"1,231.7"</f>
        <v>1,231.7</v>
      </c>
    </row>
    <row r="29" spans="1:6" x14ac:dyDescent="0.25">
      <c r="A29">
        <v>25</v>
      </c>
      <c r="B29" t="str">
        <f>"Welter, Natalie (406784)"</f>
        <v>Welter, Natalie (406784)</v>
      </c>
      <c r="C29" t="str">
        <f>"Foxburg, PA"</f>
        <v>Foxburg, PA</v>
      </c>
      <c r="D29" t="str">
        <f>"615.2"</f>
        <v>615.2</v>
      </c>
      <c r="E29" t="str">
        <f>"616.1"</f>
        <v>616.1</v>
      </c>
      <c r="F29" t="str">
        <f>"1,231.3"</f>
        <v>1,231.3</v>
      </c>
    </row>
    <row r="30" spans="1:6" x14ac:dyDescent="0.25">
      <c r="A30">
        <v>26</v>
      </c>
      <c r="B30" t="str">
        <f>"Lynn, Karlie (412938)"</f>
        <v>Lynn, Karlie (412938)</v>
      </c>
      <c r="C30" t="str">
        <f>"Hopewell, PA"</f>
        <v>Hopewell, PA</v>
      </c>
      <c r="D30" t="str">
        <f>"615.1"</f>
        <v>615.1</v>
      </c>
      <c r="E30" t="str">
        <f>"616.0"</f>
        <v>616.0</v>
      </c>
      <c r="F30" t="str">
        <f>"1,231.1"</f>
        <v>1,231.1</v>
      </c>
    </row>
    <row r="31" spans="1:6" x14ac:dyDescent="0.25">
      <c r="A31">
        <v>27</v>
      </c>
      <c r="B31" t="str">
        <f>"Westlake, Shannon (169092)"</f>
        <v>Westlake, Shannon (169092)</v>
      </c>
      <c r="C31" t="str">
        <f>"Utopia, ON"</f>
        <v>Utopia, ON</v>
      </c>
      <c r="D31" t="str">
        <f>"617.9"</f>
        <v>617.9</v>
      </c>
      <c r="E31" t="str">
        <f>"612.4"</f>
        <v>612.4</v>
      </c>
      <c r="F31" t="str">
        <f>"1,230.3"</f>
        <v>1,230.3</v>
      </c>
    </row>
    <row r="32" spans="1:6" x14ac:dyDescent="0.25">
      <c r="A32">
        <v>28</v>
      </c>
      <c r="B32" t="str">
        <f>"Goldstein, Isabella (442679)"</f>
        <v>Goldstein, Isabella (442679)</v>
      </c>
      <c r="C32" t="str">
        <f>"Chesapeake, VA"</f>
        <v>Chesapeake, VA</v>
      </c>
      <c r="D32" t="str">
        <f>"617.0"</f>
        <v>617.0</v>
      </c>
      <c r="E32" t="str">
        <f>"613.1"</f>
        <v>613.1</v>
      </c>
      <c r="F32" t="str">
        <f>"1,230.1"</f>
        <v>1,230.1</v>
      </c>
    </row>
    <row r="33" spans="1:6" x14ac:dyDescent="0.25">
      <c r="A33">
        <v>29</v>
      </c>
      <c r="B33" t="str">
        <f>"Snowdall, Alyson (398916)"</f>
        <v>Snowdall, Alyson (398916)</v>
      </c>
      <c r="C33" t="str">
        <f>"Burke , VA"</f>
        <v>Burke , VA</v>
      </c>
      <c r="D33" t="str">
        <f>"610.9"</f>
        <v>610.9</v>
      </c>
      <c r="E33" t="str">
        <f>"616.4"</f>
        <v>616.4</v>
      </c>
      <c r="F33" t="str">
        <f>"1,227.3"</f>
        <v>1,227.3</v>
      </c>
    </row>
    <row r="34" spans="1:6" x14ac:dyDescent="0.25">
      <c r="A34">
        <v>30</v>
      </c>
      <c r="B34" t="str">
        <f>"Muzik, Claudia (227604)"</f>
        <v>Muzik, Claudia (227604)</v>
      </c>
      <c r="C34" t="str">
        <f>"Green Springs, OH"</f>
        <v>Green Springs, OH</v>
      </c>
      <c r="D34" t="str">
        <f>"612.5"</f>
        <v>612.5</v>
      </c>
      <c r="E34" t="str">
        <f>"614.7"</f>
        <v>614.7</v>
      </c>
      <c r="F34" t="str">
        <f>"1,227.2"</f>
        <v>1,227.2</v>
      </c>
    </row>
    <row r="35" spans="1:6" x14ac:dyDescent="0.25">
      <c r="A35">
        <v>31</v>
      </c>
      <c r="B35" t="str">
        <f>"Hollowell, Elizabeth (245044)"</f>
        <v>Hollowell, Elizabeth (245044)</v>
      </c>
      <c r="C35" t="str">
        <f>"King George, VA"</f>
        <v>King George, VA</v>
      </c>
      <c r="D35" t="str">
        <f>"606.7"</f>
        <v>606.7</v>
      </c>
      <c r="E35" t="str">
        <f>"619.4"</f>
        <v>619.4</v>
      </c>
      <c r="F35" t="str">
        <f>"1,226.1"</f>
        <v>1,226.1</v>
      </c>
    </row>
    <row r="36" spans="1:6" x14ac:dyDescent="0.25">
      <c r="A36">
        <v>32</v>
      </c>
      <c r="B36" t="str">
        <f>"Todd, Hannah (281258)"</f>
        <v>Todd, Hannah (281258)</v>
      </c>
      <c r="C36" t="str">
        <f>"Cameron, MT"</f>
        <v>Cameron, MT</v>
      </c>
      <c r="D36" t="str">
        <f>"614.3"</f>
        <v>614.3</v>
      </c>
      <c r="E36" t="str">
        <f>"611.7"</f>
        <v>611.7</v>
      </c>
      <c r="F36" t="str">
        <f>"1,226.0"</f>
        <v>1,226.0</v>
      </c>
    </row>
    <row r="37" spans="1:6" x14ac:dyDescent="0.25">
      <c r="A37">
        <v>33</v>
      </c>
      <c r="B37" t="str">
        <f>"Johnson, Mallory (337879)"</f>
        <v>Johnson, Mallory (337879)</v>
      </c>
      <c r="C37" t="str">
        <f>"Cookeville, TN"</f>
        <v>Cookeville, TN</v>
      </c>
      <c r="D37" t="str">
        <f>"614.2"</f>
        <v>614.2</v>
      </c>
      <c r="E37" t="str">
        <f>"610.5"</f>
        <v>610.5</v>
      </c>
      <c r="F37" t="str">
        <f>"1,224.7"</f>
        <v>1,224.7</v>
      </c>
    </row>
    <row r="38" spans="1:6" x14ac:dyDescent="0.25">
      <c r="A38">
        <v>34</v>
      </c>
      <c r="B38" t="str">
        <f>"Siek, Natalia  (377610)"</f>
        <v>Siek, Natalia  (377610)</v>
      </c>
      <c r="C38" t="str">
        <f>"Flemington, NJ"</f>
        <v>Flemington, NJ</v>
      </c>
      <c r="D38" t="str">
        <f>"609.2"</f>
        <v>609.2</v>
      </c>
      <c r="E38" t="str">
        <f>"615.3"</f>
        <v>615.3</v>
      </c>
      <c r="F38" t="str">
        <f>"1,224.5"</f>
        <v>1,224.5</v>
      </c>
    </row>
    <row r="39" spans="1:6" x14ac:dyDescent="0.25">
      <c r="A39">
        <v>35</v>
      </c>
      <c r="B39" t="str">
        <f>"Fondy, Megan (395883)"</f>
        <v>Fondy, Megan (395883)</v>
      </c>
      <c r="C39" t="str">
        <f>"Georgetown , IN"</f>
        <v>Georgetown , IN</v>
      </c>
      <c r="D39" t="str">
        <f>"610.1"</f>
        <v>610.1</v>
      </c>
      <c r="E39" t="str">
        <f>"611.1"</f>
        <v>611.1</v>
      </c>
      <c r="F39" t="str">
        <f>"1,221.2"</f>
        <v>1,221.2</v>
      </c>
    </row>
    <row r="40" spans="1:6" x14ac:dyDescent="0.25">
      <c r="A40">
        <v>36</v>
      </c>
      <c r="B40" t="str">
        <f>"Colon Vargas, Edian (391067)"</f>
        <v>Colon Vargas, Edian (391067)</v>
      </c>
      <c r="C40" t="str">
        <f>"Ocala, FL"</f>
        <v>Ocala, FL</v>
      </c>
      <c r="D40" t="str">
        <f>"611.5"</f>
        <v>611.5</v>
      </c>
      <c r="E40" t="str">
        <f>"609.6"</f>
        <v>609.6</v>
      </c>
      <c r="F40" t="str">
        <f>"1,221.1"</f>
        <v>1,221.1</v>
      </c>
    </row>
    <row r="41" spans="1:6" x14ac:dyDescent="0.25">
      <c r="A41">
        <v>37</v>
      </c>
      <c r="B41" t="str">
        <f>"Tinsley, Katelyn (262525)"</f>
        <v>Tinsley, Katelyn (262525)</v>
      </c>
      <c r="C41" t="str">
        <f>"Goshen, IN"</f>
        <v>Goshen, IN</v>
      </c>
      <c r="D41" t="str">
        <f>"608.0"</f>
        <v>608.0</v>
      </c>
      <c r="E41" t="str">
        <f>"612.8"</f>
        <v>612.8</v>
      </c>
      <c r="F41" t="str">
        <f>"1,220.8"</f>
        <v>1,220.8</v>
      </c>
    </row>
    <row r="42" spans="1:6" x14ac:dyDescent="0.25">
      <c r="A42">
        <v>38</v>
      </c>
      <c r="B42" t="str">
        <f>"Palfrey, Maggie (435566)"</f>
        <v>Palfrey, Maggie (435566)</v>
      </c>
      <c r="C42" t="str">
        <f>"Indiana , PA"</f>
        <v>Indiana , PA</v>
      </c>
      <c r="D42" t="str">
        <f>"612.5"</f>
        <v>612.5</v>
      </c>
      <c r="E42" t="str">
        <f>"608.1"</f>
        <v>608.1</v>
      </c>
      <c r="F42" t="str">
        <f>"1,220.6"</f>
        <v>1,220.6</v>
      </c>
    </row>
    <row r="43" spans="1:6" x14ac:dyDescent="0.25">
      <c r="A43">
        <v>39</v>
      </c>
      <c r="B43" t="str">
        <f>"Muzik, Delilah (341669)"</f>
        <v>Muzik, Delilah (341669)</v>
      </c>
      <c r="C43" t="str">
        <f>"Green Springs, OH"</f>
        <v>Green Springs, OH</v>
      </c>
      <c r="D43" t="str">
        <f>"609.7"</f>
        <v>609.7</v>
      </c>
      <c r="E43" t="str">
        <f>"610.6"</f>
        <v>610.6</v>
      </c>
      <c r="F43" t="str">
        <f>"1,220.3"</f>
        <v>1,220.3</v>
      </c>
    </row>
    <row r="44" spans="1:6" x14ac:dyDescent="0.25">
      <c r="A44">
        <v>40</v>
      </c>
      <c r="B44" t="str">
        <f>"Schleinkofer, Gretchen (355182)"</f>
        <v>Schleinkofer, Gretchen (355182)</v>
      </c>
      <c r="C44" t="str">
        <f>"Fort Wayne, IN"</f>
        <v>Fort Wayne, IN</v>
      </c>
      <c r="D44" t="str">
        <f>"612.6"</f>
        <v>612.6</v>
      </c>
      <c r="E44" t="str">
        <f>"607.6"</f>
        <v>607.6</v>
      </c>
      <c r="F44" t="str">
        <f>"1,220.2"</f>
        <v>1,220.2</v>
      </c>
    </row>
    <row r="45" spans="1:6" x14ac:dyDescent="0.25">
      <c r="A45">
        <v>41</v>
      </c>
      <c r="B45" t="str">
        <f>"Harford, Avana (457798)"</f>
        <v>Harford, Avana (457798)</v>
      </c>
      <c r="C45" t="str">
        <f>"Springfield, VA"</f>
        <v>Springfield, VA</v>
      </c>
      <c r="D45" t="str">
        <f>"610.0"</f>
        <v>610.0</v>
      </c>
      <c r="E45" t="str">
        <f>"609.6"</f>
        <v>609.6</v>
      </c>
      <c r="F45" t="str">
        <f>"1,219.6"</f>
        <v>1,219.6</v>
      </c>
    </row>
    <row r="46" spans="1:6" x14ac:dyDescent="0.25">
      <c r="A46">
        <v>42</v>
      </c>
      <c r="B46" t="str">
        <f>"Gallagher, Hannah (431764)"</f>
        <v>Gallagher, Hannah (431764)</v>
      </c>
      <c r="C46" t="str">
        <f>"Croton on Hudson, NY"</f>
        <v>Croton on Hudson, NY</v>
      </c>
      <c r="D46" t="str">
        <f>"608.8"</f>
        <v>608.8</v>
      </c>
      <c r="E46" t="str">
        <f>"609.5"</f>
        <v>609.5</v>
      </c>
      <c r="F46" t="str">
        <f>"1,218.3"</f>
        <v>1,218.3</v>
      </c>
    </row>
    <row r="47" spans="1:6" x14ac:dyDescent="0.25">
      <c r="A47">
        <v>43</v>
      </c>
      <c r="B47" t="str">
        <f>"Haymond, Ashley (380824)"</f>
        <v>Haymond, Ashley (380824)</v>
      </c>
      <c r="C47" t="str">
        <f>"Shelbyville, KY"</f>
        <v>Shelbyville, KY</v>
      </c>
      <c r="D47" t="str">
        <f>"608.7"</f>
        <v>608.7</v>
      </c>
      <c r="E47" t="str">
        <f>"609.0"</f>
        <v>609.0</v>
      </c>
      <c r="F47" t="str">
        <f>"1,217.7"</f>
        <v>1,217.7</v>
      </c>
    </row>
    <row r="48" spans="1:6" x14ac:dyDescent="0.25">
      <c r="A48">
        <v>44</v>
      </c>
      <c r="B48" t="str">
        <f>"Degisi, Lilianna (430813)"</f>
        <v>Degisi, Lilianna (430813)</v>
      </c>
      <c r="C48" t="str">
        <f>"Arlington, VA"</f>
        <v>Arlington, VA</v>
      </c>
      <c r="D48" t="str">
        <f>"605.1"</f>
        <v>605.1</v>
      </c>
      <c r="E48" t="str">
        <f>"612.1"</f>
        <v>612.1</v>
      </c>
      <c r="F48" t="str">
        <f>"1,217.2"</f>
        <v>1,217.2</v>
      </c>
    </row>
    <row r="49" spans="1:6" x14ac:dyDescent="0.25">
      <c r="A49">
        <v>45</v>
      </c>
      <c r="B49" t="str">
        <f>"Cartagena, Cristina (400407)"</f>
        <v>Cartagena, Cristina (400407)</v>
      </c>
      <c r="C49" t="str">
        <f>"Santa Isabel, PR"</f>
        <v>Santa Isabel, PR</v>
      </c>
      <c r="D49" t="str">
        <f>"602.2"</f>
        <v>602.2</v>
      </c>
      <c r="E49" t="str">
        <f>"611.6"</f>
        <v>611.6</v>
      </c>
      <c r="F49" t="str">
        <f>"1,213.8"</f>
        <v>1,213.8</v>
      </c>
    </row>
    <row r="50" spans="1:6" x14ac:dyDescent="0.25">
      <c r="A50">
        <v>46</v>
      </c>
      <c r="B50" t="str">
        <f>"Mickle, Jolynn (459001)"</f>
        <v>Mickle, Jolynn (459001)</v>
      </c>
      <c r="C50" t="str">
        <f>"Alum Bank, PA"</f>
        <v>Alum Bank, PA</v>
      </c>
      <c r="D50" t="str">
        <f>"605.3"</f>
        <v>605.3</v>
      </c>
      <c r="E50" t="str">
        <f>"607.9"</f>
        <v>607.9</v>
      </c>
      <c r="F50" t="str">
        <f>"1,213.2"</f>
        <v>1,213.2</v>
      </c>
    </row>
    <row r="51" spans="1:6" x14ac:dyDescent="0.25">
      <c r="A51">
        <v>47</v>
      </c>
      <c r="B51" t="str">
        <f>"Stann, Catherine (417596)"</f>
        <v>Stann, Catherine (417596)</v>
      </c>
      <c r="C51" t="str">
        <f>"Reston, VA"</f>
        <v>Reston, VA</v>
      </c>
      <c r="D51" t="str">
        <f>"602.8"</f>
        <v>602.8</v>
      </c>
      <c r="E51" t="str">
        <f>"608.9"</f>
        <v>608.9</v>
      </c>
      <c r="F51" t="str">
        <f>"1,211.7"</f>
        <v>1,211.7</v>
      </c>
    </row>
    <row r="52" spans="1:6" x14ac:dyDescent="0.25">
      <c r="A52">
        <v>48</v>
      </c>
      <c r="B52" t="str">
        <f>"Mauras Westerband, Sheileen (487565)"</f>
        <v>Mauras Westerband, Sheileen (487565)</v>
      </c>
      <c r="C52" t="str">
        <f>"Arroyo, PR"</f>
        <v>Arroyo, PR</v>
      </c>
      <c r="D52" t="str">
        <f>"604.4"</f>
        <v>604.4</v>
      </c>
      <c r="E52" t="str">
        <f>"607.2"</f>
        <v>607.2</v>
      </c>
      <c r="F52" t="str">
        <f>"1,211.6"</f>
        <v>1,211.6</v>
      </c>
    </row>
    <row r="53" spans="1:6" x14ac:dyDescent="0.25">
      <c r="A53">
        <v>49</v>
      </c>
      <c r="B53" t="str">
        <f>"Mix, Sarah (395288)"</f>
        <v>Mix, Sarah (395288)</v>
      </c>
      <c r="C53" t="str">
        <f>"Xenia, OH"</f>
        <v>Xenia, OH</v>
      </c>
      <c r="D53" t="str">
        <f>"611.3"</f>
        <v>611.3</v>
      </c>
      <c r="E53" t="str">
        <f>"599.7"</f>
        <v>599.7</v>
      </c>
      <c r="F53" t="str">
        <f>"1,211.0"</f>
        <v>1,211.0</v>
      </c>
    </row>
    <row r="54" spans="1:6" x14ac:dyDescent="0.25">
      <c r="A54">
        <v>50</v>
      </c>
      <c r="B54" t="str">
        <f>"Talbott, Hannah (482748)"</f>
        <v>Talbott, Hannah (482748)</v>
      </c>
      <c r="C54" t="str">
        <f>"Danbury, CT"</f>
        <v>Danbury, CT</v>
      </c>
      <c r="D54" t="str">
        <f>"603.7"</f>
        <v>603.7</v>
      </c>
      <c r="E54" t="str">
        <f>"607.1"</f>
        <v>607.1</v>
      </c>
      <c r="F54" t="str">
        <f>"1,210.8"</f>
        <v>1,210.8</v>
      </c>
    </row>
    <row r="55" spans="1:6" x14ac:dyDescent="0.25">
      <c r="A55">
        <v>51</v>
      </c>
      <c r="B55" t="str">
        <f>"Morris, Christina (445266)"</f>
        <v>Morris, Christina (445266)</v>
      </c>
      <c r="C55" t="str">
        <f>"Yorktown, VA"</f>
        <v>Yorktown, VA</v>
      </c>
      <c r="D55" t="str">
        <f>"602.7"</f>
        <v>602.7</v>
      </c>
      <c r="E55" t="str">
        <f>"607.4"</f>
        <v>607.4</v>
      </c>
      <c r="F55" t="str">
        <f>"1,210.1"</f>
        <v>1,210.1</v>
      </c>
    </row>
    <row r="56" spans="1:6" x14ac:dyDescent="0.25">
      <c r="A56">
        <v>52</v>
      </c>
      <c r="B56" t="str">
        <f>"Solivan Santiago, Mariangelie (487570)"</f>
        <v>Solivan Santiago, Mariangelie (487570)</v>
      </c>
      <c r="C56" t="str">
        <f>"Patillas, PR"</f>
        <v>Patillas, PR</v>
      </c>
      <c r="D56" t="str">
        <f>"604.5"</f>
        <v>604.5</v>
      </c>
      <c r="E56" t="str">
        <f>"605.3"</f>
        <v>605.3</v>
      </c>
      <c r="F56" t="str">
        <f>"1,209.8"</f>
        <v>1,209.8</v>
      </c>
    </row>
    <row r="57" spans="1:6" x14ac:dyDescent="0.25">
      <c r="A57">
        <v>53</v>
      </c>
      <c r="B57" t="str">
        <f>"Rodriguez-Rabri, Nellian (487558)"</f>
        <v>Rodriguez-Rabri, Nellian (487558)</v>
      </c>
      <c r="C57" t="str">
        <f>"Arroyo, PR"</f>
        <v>Arroyo, PR</v>
      </c>
      <c r="D57" t="str">
        <f>"607.3"</f>
        <v>607.3</v>
      </c>
      <c r="E57" t="str">
        <f>"601.4"</f>
        <v>601.4</v>
      </c>
      <c r="F57" t="str">
        <f>"1,208.7"</f>
        <v>1,208.7</v>
      </c>
    </row>
    <row r="58" spans="1:6" x14ac:dyDescent="0.25">
      <c r="A58">
        <v>54</v>
      </c>
      <c r="B58" t="str">
        <f>"Moran, Kathleen (405048)"</f>
        <v>Moran, Kathleen (405048)</v>
      </c>
      <c r="C58" t="str">
        <f>"Buffalo, NY"</f>
        <v>Buffalo, NY</v>
      </c>
      <c r="D58" t="str">
        <f>"603.3"</f>
        <v>603.3</v>
      </c>
      <c r="E58" t="str">
        <f>"603.9"</f>
        <v>603.9</v>
      </c>
      <c r="F58" t="str">
        <f>"1,207.2"</f>
        <v>1,207.2</v>
      </c>
    </row>
    <row r="59" spans="1:6" x14ac:dyDescent="0.25">
      <c r="A59">
        <v>55</v>
      </c>
      <c r="B59" t="str">
        <f>"Luk, Cindy (189911)"</f>
        <v>Luk, Cindy (189911)</v>
      </c>
      <c r="C59" t="str">
        <f>"Maple, ONT"</f>
        <v>Maple, ONT</v>
      </c>
      <c r="D59" t="str">
        <f>"603.7"</f>
        <v>603.7</v>
      </c>
      <c r="E59" t="str">
        <f>"603.2"</f>
        <v>603.2</v>
      </c>
      <c r="F59" t="str">
        <f>"1,206.9"</f>
        <v>1,206.9</v>
      </c>
    </row>
    <row r="60" spans="1:6" x14ac:dyDescent="0.25">
      <c r="A60">
        <v>56</v>
      </c>
      <c r="B60" t="str">
        <f>"Kohli, Anahad  (470338)"</f>
        <v>Kohli, Anahad  (470338)</v>
      </c>
      <c r="C60" t="str">
        <f>"Yorktown, VA"</f>
        <v>Yorktown, VA</v>
      </c>
      <c r="D60" t="str">
        <f>"605.9"</f>
        <v>605.9</v>
      </c>
      <c r="E60" t="str">
        <f>"600.9"</f>
        <v>600.9</v>
      </c>
      <c r="F60" t="str">
        <f>"1,206.8"</f>
        <v>1,206.8</v>
      </c>
    </row>
    <row r="61" spans="1:6" x14ac:dyDescent="0.25">
      <c r="A61">
        <v>57</v>
      </c>
      <c r="B61" t="str">
        <f>"Urbach, Bailey (147514)"</f>
        <v>Urbach, Bailey (147514)</v>
      </c>
      <c r="C61" t="str">
        <f>"Hudson, NH"</f>
        <v>Hudson, NH</v>
      </c>
      <c r="D61" t="str">
        <f>"606.2"</f>
        <v>606.2</v>
      </c>
      <c r="E61" t="str">
        <f>"600.1"</f>
        <v>600.1</v>
      </c>
      <c r="F61" t="str">
        <f>"1,206.3"</f>
        <v>1,206.3</v>
      </c>
    </row>
    <row r="62" spans="1:6" x14ac:dyDescent="0.25">
      <c r="A62">
        <v>58</v>
      </c>
      <c r="B62" t="str">
        <f>"Bernier, Katherine (431761)"</f>
        <v>Bernier, Katherine (431761)</v>
      </c>
      <c r="C62" t="str">
        <f>"Monroe, CT"</f>
        <v>Monroe, CT</v>
      </c>
      <c r="D62" t="str">
        <f>"605.1"</f>
        <v>605.1</v>
      </c>
      <c r="E62" t="str">
        <f>"601.0"</f>
        <v>601.0</v>
      </c>
      <c r="F62" t="str">
        <f>"1,206.1"</f>
        <v>1,206.1</v>
      </c>
    </row>
    <row r="63" spans="1:6" x14ac:dyDescent="0.25">
      <c r="A63">
        <v>59</v>
      </c>
      <c r="B63" t="str">
        <f>"Palmer, Cala (383406)"</f>
        <v>Palmer, Cala (383406)</v>
      </c>
      <c r="C63" t="str">
        <f>"Williamstown, WV"</f>
        <v>Williamstown, WV</v>
      </c>
      <c r="D63" t="str">
        <f>"601.9"</f>
        <v>601.9</v>
      </c>
      <c r="E63" t="str">
        <f>"603.6"</f>
        <v>603.6</v>
      </c>
      <c r="F63" t="str">
        <f>"1,205.5"</f>
        <v>1,205.5</v>
      </c>
    </row>
    <row r="64" spans="1:6" x14ac:dyDescent="0.25">
      <c r="A64">
        <v>60</v>
      </c>
      <c r="B64" t="str">
        <f>"Blackman, Lillian (389896)"</f>
        <v>Blackman, Lillian (389896)</v>
      </c>
      <c r="C64" t="str">
        <f>"Fort Wayne, IN"</f>
        <v>Fort Wayne, IN</v>
      </c>
      <c r="D64" t="str">
        <f>"598.8"</f>
        <v>598.8</v>
      </c>
      <c r="E64" t="str">
        <f>"606.6"</f>
        <v>606.6</v>
      </c>
      <c r="F64" t="str">
        <f>"1,205.4"</f>
        <v>1,205.4</v>
      </c>
    </row>
    <row r="65" spans="1:6" x14ac:dyDescent="0.25">
      <c r="A65">
        <v>61</v>
      </c>
      <c r="B65" t="str">
        <f>"Wade, Sienna (388515)"</f>
        <v>Wade, Sienna (388515)</v>
      </c>
      <c r="C65" t="str">
        <f>"Fairfax, VA"</f>
        <v>Fairfax, VA</v>
      </c>
      <c r="D65" t="str">
        <f>"600.2"</f>
        <v>600.2</v>
      </c>
      <c r="E65" t="str">
        <f>"605.0"</f>
        <v>605.0</v>
      </c>
      <c r="F65" t="str">
        <f>"1,205.2"</f>
        <v>1,205.2</v>
      </c>
    </row>
    <row r="66" spans="1:6" x14ac:dyDescent="0.25">
      <c r="A66">
        <v>62</v>
      </c>
      <c r="B66" t="str">
        <f>"Han, Alice (485967)"</f>
        <v>Han, Alice (485967)</v>
      </c>
      <c r="C66" t="str">
        <f>"Richmond Hill, ON"</f>
        <v>Richmond Hill, ON</v>
      </c>
      <c r="D66" t="str">
        <f>"599.3"</f>
        <v>599.3</v>
      </c>
      <c r="E66" t="str">
        <f>"605.8"</f>
        <v>605.8</v>
      </c>
      <c r="F66" t="str">
        <f>"1,205.1"</f>
        <v>1,205.1</v>
      </c>
    </row>
    <row r="67" spans="1:6" x14ac:dyDescent="0.25">
      <c r="A67">
        <v>63</v>
      </c>
      <c r="B67" t="str">
        <f>"Allen, Madison (487559)"</f>
        <v>Allen, Madison (487559)</v>
      </c>
      <c r="C67" t="str">
        <f>"Sommerset, PA"</f>
        <v>Sommerset, PA</v>
      </c>
      <c r="D67" t="str">
        <f>"605.6"</f>
        <v>605.6</v>
      </c>
      <c r="E67" t="str">
        <f>"599.1"</f>
        <v>599.1</v>
      </c>
      <c r="F67" t="str">
        <f>"1,204.7"</f>
        <v>1,204.7</v>
      </c>
    </row>
    <row r="68" spans="1:6" x14ac:dyDescent="0.25">
      <c r="A68">
        <v>64</v>
      </c>
      <c r="B68" t="str">
        <f>"Zhu, Jessie Jiaxi (482606)"</f>
        <v>Zhu, Jessie Jiaxi (482606)</v>
      </c>
      <c r="C68" t="str">
        <f>"North York, ON"</f>
        <v>North York, ON</v>
      </c>
      <c r="D68" t="str">
        <f>"597.2"</f>
        <v>597.2</v>
      </c>
      <c r="E68" t="str">
        <f>"607.3"</f>
        <v>607.3</v>
      </c>
      <c r="F68" t="str">
        <f>"1,204.5"</f>
        <v>1,204.5</v>
      </c>
    </row>
    <row r="69" spans="1:6" x14ac:dyDescent="0.25">
      <c r="A69">
        <v>65</v>
      </c>
      <c r="B69" t="str">
        <f>"Munley, Kirstin (431261)"</f>
        <v>Munley, Kirstin (431261)</v>
      </c>
      <c r="C69" t="str">
        <f>"Pottsiville, PA"</f>
        <v>Pottsiville, PA</v>
      </c>
      <c r="D69" t="str">
        <f>"606.0"</f>
        <v>606.0</v>
      </c>
      <c r="E69" t="str">
        <f>"597.3"</f>
        <v>597.3</v>
      </c>
      <c r="F69" t="str">
        <f>"1,203.3"</f>
        <v>1,203.3</v>
      </c>
    </row>
    <row r="70" spans="1:6" x14ac:dyDescent="0.25">
      <c r="A70">
        <v>66</v>
      </c>
      <c r="B70" t="str">
        <f>"Solis, Princy (449115)"</f>
        <v>Solis, Princy (449115)</v>
      </c>
      <c r="C70" t="str">
        <f>"Saratoga Springs, NY"</f>
        <v>Saratoga Springs, NY</v>
      </c>
      <c r="D70" t="str">
        <f>"588.5"</f>
        <v>588.5</v>
      </c>
      <c r="E70" t="str">
        <f>"611.3"</f>
        <v>611.3</v>
      </c>
      <c r="F70" t="str">
        <f>"1,199.8"</f>
        <v>1,199.8</v>
      </c>
    </row>
    <row r="71" spans="1:6" x14ac:dyDescent="0.25">
      <c r="A71">
        <v>67</v>
      </c>
      <c r="B71" t="str">
        <f>"Forgues, Phoebe (403128)"</f>
        <v>Forgues, Phoebe (403128)</v>
      </c>
      <c r="C71" t="str">
        <f>"Shrewsbury, MA"</f>
        <v>Shrewsbury, MA</v>
      </c>
      <c r="D71" t="str">
        <f>"598.7"</f>
        <v>598.7</v>
      </c>
      <c r="E71" t="str">
        <f>"601.0"</f>
        <v>601.0</v>
      </c>
      <c r="F71" t="str">
        <f>"1,199.7"</f>
        <v>1,199.7</v>
      </c>
    </row>
    <row r="72" spans="1:6" x14ac:dyDescent="0.25">
      <c r="A72">
        <v>68</v>
      </c>
      <c r="B72" t="str">
        <f>"Meinen, Olive (397233)"</f>
        <v>Meinen, Olive (397233)</v>
      </c>
      <c r="C72" t="str">
        <f>"Stillwater, MN"</f>
        <v>Stillwater, MN</v>
      </c>
      <c r="D72" t="str">
        <f>"599.9"</f>
        <v>599.9</v>
      </c>
      <c r="E72" t="str">
        <f>"597.4"</f>
        <v>597.4</v>
      </c>
      <c r="F72" t="str">
        <f>"1,197.3"</f>
        <v>1,197.3</v>
      </c>
    </row>
    <row r="73" spans="1:6" x14ac:dyDescent="0.25">
      <c r="A73">
        <v>69</v>
      </c>
      <c r="B73" t="str">
        <f>"Freiburger, Aubrey (428397)"</f>
        <v>Freiburger, Aubrey (428397)</v>
      </c>
      <c r="C73" t="str">
        <f>"Fort Wayne, IN"</f>
        <v>Fort Wayne, IN</v>
      </c>
      <c r="D73" t="str">
        <f>"596.7"</f>
        <v>596.7</v>
      </c>
      <c r="E73" t="str">
        <f>"599.7"</f>
        <v>599.7</v>
      </c>
      <c r="F73" t="str">
        <f>"1,196.4"</f>
        <v>1,196.4</v>
      </c>
    </row>
    <row r="74" spans="1:6" x14ac:dyDescent="0.25">
      <c r="A74">
        <v>70</v>
      </c>
      <c r="B74" t="str">
        <f>"Palamara, Anastasia (431766)"</f>
        <v>Palamara, Anastasia (431766)</v>
      </c>
      <c r="C74" t="str">
        <f>"Huntingtown, MD"</f>
        <v>Huntingtown, MD</v>
      </c>
      <c r="D74" t="str">
        <f>"594.9"</f>
        <v>594.9</v>
      </c>
      <c r="E74" t="str">
        <f>"601.2"</f>
        <v>601.2</v>
      </c>
      <c r="F74" t="str">
        <f>"1,196.1"</f>
        <v>1,196.1</v>
      </c>
    </row>
    <row r="75" spans="1:6" x14ac:dyDescent="0.25">
      <c r="A75">
        <v>71</v>
      </c>
      <c r="B75" t="str">
        <f>"Reeke, Sally (301786)"</f>
        <v>Reeke, Sally (301786)</v>
      </c>
      <c r="C75" t="str">
        <f>"Clifton , VA"</f>
        <v>Clifton , VA</v>
      </c>
      <c r="D75" t="str">
        <f>"597.8"</f>
        <v>597.8</v>
      </c>
      <c r="E75" t="str">
        <f>"598.3"</f>
        <v>598.3</v>
      </c>
      <c r="F75" t="str">
        <f>"1,196.1"</f>
        <v>1,196.1</v>
      </c>
    </row>
    <row r="76" spans="1:6" x14ac:dyDescent="0.25">
      <c r="A76">
        <v>72</v>
      </c>
      <c r="B76" t="str">
        <f>"Yang, Angela (473382)"</f>
        <v>Yang, Angela (473382)</v>
      </c>
      <c r="C76" t="str">
        <f>"Maple, ON"</f>
        <v>Maple, ON</v>
      </c>
      <c r="D76" t="str">
        <f>"597.1"</f>
        <v>597.1</v>
      </c>
      <c r="E76" t="str">
        <f>"598.1"</f>
        <v>598.1</v>
      </c>
      <c r="F76" t="str">
        <f>"1,195.2"</f>
        <v>1,195.2</v>
      </c>
    </row>
    <row r="77" spans="1:6" x14ac:dyDescent="0.25">
      <c r="A77">
        <v>73</v>
      </c>
      <c r="B77" t="str">
        <f>"Mills, Laila (436909)"</f>
        <v>Mills, Laila (436909)</v>
      </c>
      <c r="C77" t="str">
        <f>"Everett, PA"</f>
        <v>Everett, PA</v>
      </c>
      <c r="D77" t="str">
        <f>"596.9"</f>
        <v>596.9</v>
      </c>
      <c r="E77" t="str">
        <f>"598.2"</f>
        <v>598.2</v>
      </c>
      <c r="F77" t="str">
        <f>"1,195.1"</f>
        <v>1,195.1</v>
      </c>
    </row>
    <row r="78" spans="1:6" x14ac:dyDescent="0.25">
      <c r="A78">
        <v>74</v>
      </c>
      <c r="B78" t="str">
        <f>"Zhang, Ling Yun (482149)"</f>
        <v>Zhang, Ling Yun (482149)</v>
      </c>
      <c r="C78" t="str">
        <f>"maple, ON"</f>
        <v>maple, ON</v>
      </c>
      <c r="D78" t="str">
        <f>"592.4"</f>
        <v>592.4</v>
      </c>
      <c r="E78" t="str">
        <f>"596.8"</f>
        <v>596.8</v>
      </c>
      <c r="F78" t="str">
        <f>"1,189.2"</f>
        <v>1,189.2</v>
      </c>
    </row>
    <row r="79" spans="1:6" x14ac:dyDescent="0.25">
      <c r="A79">
        <v>75</v>
      </c>
      <c r="B79" t="str">
        <f>"Reeke, Cassidy (351767)"</f>
        <v>Reeke, Cassidy (351767)</v>
      </c>
      <c r="C79" t="str">
        <f>"Clifton, VA"</f>
        <v>Clifton, VA</v>
      </c>
      <c r="D79" t="str">
        <f>"594.0"</f>
        <v>594.0</v>
      </c>
      <c r="E79" t="str">
        <f>"592.9"</f>
        <v>592.9</v>
      </c>
      <c r="F79" t="str">
        <f>"1,186.9"</f>
        <v>1,186.9</v>
      </c>
    </row>
    <row r="80" spans="1:6" x14ac:dyDescent="0.25">
      <c r="A80">
        <v>76</v>
      </c>
      <c r="B80" t="str">
        <f>"Allen, Kiersten (487562)"</f>
        <v>Allen, Kiersten (487562)</v>
      </c>
      <c r="C80" t="str">
        <f>"Sommerset, PA"</f>
        <v>Sommerset, PA</v>
      </c>
      <c r="D80" t="str">
        <f>"592.4"</f>
        <v>592.4</v>
      </c>
      <c r="E80" t="str">
        <f>"594.1"</f>
        <v>594.1</v>
      </c>
      <c r="F80" t="str">
        <f>"1,186.5"</f>
        <v>1,186.5</v>
      </c>
    </row>
    <row r="81" spans="1:6" x14ac:dyDescent="0.25">
      <c r="A81">
        <v>77</v>
      </c>
      <c r="B81" t="str">
        <f>"Miller, Catherine (487566)"</f>
        <v>Miller, Catherine (487566)</v>
      </c>
      <c r="C81" t="str">
        <f>"Darien, CT"</f>
        <v>Darien, CT</v>
      </c>
      <c r="D81" t="str">
        <f>"595.7"</f>
        <v>595.7</v>
      </c>
      <c r="E81" t="str">
        <f>"590.6"</f>
        <v>590.6</v>
      </c>
      <c r="F81" t="str">
        <f>"1,186.3"</f>
        <v>1,186.3</v>
      </c>
    </row>
    <row r="82" spans="1:6" x14ac:dyDescent="0.25">
      <c r="A82">
        <v>78</v>
      </c>
      <c r="B82" t="str">
        <f>"Altman, Lilly (372490)"</f>
        <v>Altman, Lilly (372490)</v>
      </c>
      <c r="C82" t="str">
        <f>"Huntertown, IN"</f>
        <v>Huntertown, IN</v>
      </c>
      <c r="D82" t="str">
        <f>"586.7"</f>
        <v>586.7</v>
      </c>
      <c r="E82" t="str">
        <f>"598.0"</f>
        <v>598.0</v>
      </c>
      <c r="F82" t="str">
        <f>"1,184.7"</f>
        <v>1,184.7</v>
      </c>
    </row>
    <row r="83" spans="1:6" x14ac:dyDescent="0.25">
      <c r="A83">
        <v>79</v>
      </c>
      <c r="B83" t="str">
        <f>"Mooney , Audrey  (456269)"</f>
        <v>Mooney , Audrey  (456269)</v>
      </c>
      <c r="C83" t="str">
        <f>"Springfield , VA"</f>
        <v>Springfield , VA</v>
      </c>
      <c r="D83" t="str">
        <f>"590.5"</f>
        <v>590.5</v>
      </c>
      <c r="E83" t="str">
        <f>"592.5"</f>
        <v>592.5</v>
      </c>
      <c r="F83" t="str">
        <f>"1,183.0"</f>
        <v>1,183.0</v>
      </c>
    </row>
    <row r="84" spans="1:6" x14ac:dyDescent="0.25">
      <c r="A84">
        <v>80</v>
      </c>
      <c r="B84" t="str">
        <f>"Sorg, Catherine (424525)"</f>
        <v>Sorg, Catherine (424525)</v>
      </c>
      <c r="C84" t="str">
        <f>"Georgetown, IN"</f>
        <v>Georgetown, IN</v>
      </c>
      <c r="D84" t="str">
        <f>"587.0"</f>
        <v>587.0</v>
      </c>
      <c r="E84" t="str">
        <f>"586.5"</f>
        <v>586.5</v>
      </c>
      <c r="F84" t="str">
        <f>"1,173.5"</f>
        <v>1,173.5</v>
      </c>
    </row>
    <row r="85" spans="1:6" x14ac:dyDescent="0.25">
      <c r="A85">
        <v>81</v>
      </c>
      <c r="B85" t="str">
        <f>"Lee, Ella (318843)"</f>
        <v>Lee, Ella (318843)</v>
      </c>
      <c r="C85" t="str">
        <f>"West Roxbury, MA"</f>
        <v>West Roxbury, MA</v>
      </c>
      <c r="D85" t="str">
        <f>"591.2"</f>
        <v>591.2</v>
      </c>
      <c r="E85" t="str">
        <f>"581.8"</f>
        <v>581.8</v>
      </c>
      <c r="F85" t="str">
        <f>"1,173.0"</f>
        <v>1,173.0</v>
      </c>
    </row>
    <row r="86" spans="1:6" x14ac:dyDescent="0.25">
      <c r="A86">
        <v>82</v>
      </c>
      <c r="B86" t="str">
        <f>"Kovacevic, Ariana (468318)"</f>
        <v>Kovacevic, Ariana (468318)</v>
      </c>
      <c r="C86" t="str">
        <f>"Orchard Park, NY"</f>
        <v>Orchard Park, NY</v>
      </c>
      <c r="D86" t="str">
        <f>"583.5"</f>
        <v>583.5</v>
      </c>
      <c r="E86" t="str">
        <f>"587.3"</f>
        <v>587.3</v>
      </c>
      <c r="F86" t="str">
        <f>"1,170.8"</f>
        <v>1,170.8</v>
      </c>
    </row>
    <row r="87" spans="1:6" x14ac:dyDescent="0.25">
      <c r="A87">
        <v>83</v>
      </c>
      <c r="B87" t="str">
        <f>"D'Souza, Eliana (459846)"</f>
        <v>D'Souza, Eliana (459846)</v>
      </c>
      <c r="C87" t="str">
        <f>"Ellicott City, MD"</f>
        <v>Ellicott City, MD</v>
      </c>
      <c r="D87" t="str">
        <f>"586.6"</f>
        <v>586.6</v>
      </c>
      <c r="E87" t="str">
        <f>"583.9"</f>
        <v>583.9</v>
      </c>
      <c r="F87" t="str">
        <f>"1,170.5"</f>
        <v>1,170.5</v>
      </c>
    </row>
    <row r="88" spans="1:6" x14ac:dyDescent="0.25">
      <c r="A88">
        <v>84</v>
      </c>
      <c r="B88" t="str">
        <f>"Whiteman, Elizabeth (434837)"</f>
        <v>Whiteman, Elizabeth (434837)</v>
      </c>
      <c r="C88" t="str">
        <f>"Washington, PA"</f>
        <v>Washington, PA</v>
      </c>
      <c r="D88" t="str">
        <f>"577.2"</f>
        <v>577.2</v>
      </c>
      <c r="E88" t="str">
        <f>"589.4"</f>
        <v>589.4</v>
      </c>
      <c r="F88" t="str">
        <f>"1,166.6"</f>
        <v>1,166.6</v>
      </c>
    </row>
    <row r="89" spans="1:6" x14ac:dyDescent="0.25">
      <c r="A89">
        <v>85</v>
      </c>
      <c r="B89" t="str">
        <f>"Fink, L. Hazel (372471)"</f>
        <v>Fink, L. Hazel (372471)</v>
      </c>
      <c r="C89" t="str">
        <f>"Fort Wayne, IN"</f>
        <v>Fort Wayne, IN</v>
      </c>
      <c r="D89" t="str">
        <f>"580.6"</f>
        <v>580.6</v>
      </c>
      <c r="E89" t="str">
        <f>"584.3"</f>
        <v>584.3</v>
      </c>
      <c r="F89" t="str">
        <f>"1,164.9"</f>
        <v>1,164.9</v>
      </c>
    </row>
    <row r="90" spans="1:6" x14ac:dyDescent="0.25">
      <c r="A90">
        <v>86</v>
      </c>
      <c r="B90" t="str">
        <f>"Smith, Madison (435156)"</f>
        <v>Smith, Madison (435156)</v>
      </c>
      <c r="C90" t="str">
        <f>"Bedford, PA"</f>
        <v>Bedford, PA</v>
      </c>
      <c r="D90" t="str">
        <f>"573.8"</f>
        <v>573.8</v>
      </c>
      <c r="E90" t="str">
        <f>"589.5"</f>
        <v>589.5</v>
      </c>
      <c r="F90" t="str">
        <f>"1,163.3"</f>
        <v>1,163.3</v>
      </c>
    </row>
    <row r="91" spans="1:6" x14ac:dyDescent="0.25">
      <c r="A91">
        <v>87</v>
      </c>
      <c r="B91" t="str">
        <f>"Jeong, Pauline (418366)"</f>
        <v>Jeong, Pauline (418366)</v>
      </c>
      <c r="C91" t="str">
        <f>"Arlington , MA"</f>
        <v>Arlington , MA</v>
      </c>
      <c r="D91" t="str">
        <f>"571.8"</f>
        <v>571.8</v>
      </c>
      <c r="E91" t="str">
        <f>"586.2"</f>
        <v>586.2</v>
      </c>
      <c r="F91" t="str">
        <f>"1,158.0"</f>
        <v>1,158.0</v>
      </c>
    </row>
    <row r="92" spans="1:6" x14ac:dyDescent="0.25">
      <c r="A92">
        <v>88</v>
      </c>
      <c r="B92" t="str">
        <f>"Parmley, Ashlynn (472912)"</f>
        <v>Parmley, Ashlynn (472912)</v>
      </c>
      <c r="C92" t="str">
        <f>"Fort Wayne , IN"</f>
        <v>Fort Wayne , IN</v>
      </c>
      <c r="D92" t="str">
        <f>"583.6"</f>
        <v>583.6</v>
      </c>
      <c r="E92" t="str">
        <f>"574.3"</f>
        <v>574.3</v>
      </c>
      <c r="F92" t="str">
        <f>"1,157.9"</f>
        <v>1,157.9</v>
      </c>
    </row>
    <row r="93" spans="1:6" x14ac:dyDescent="0.25">
      <c r="A93">
        <v>89</v>
      </c>
      <c r="B93" t="str">
        <f>"Fey, Bianca (470039)"</f>
        <v>Fey, Bianca (470039)</v>
      </c>
      <c r="C93" t="str">
        <f>"Fort Wayne, IN"</f>
        <v>Fort Wayne, IN</v>
      </c>
      <c r="D93" t="str">
        <f>"581.5"</f>
        <v>581.5</v>
      </c>
      <c r="E93" t="str">
        <f>"572.6"</f>
        <v>572.6</v>
      </c>
      <c r="F93" t="str">
        <f>"1,154.1"</f>
        <v>1,154.1</v>
      </c>
    </row>
    <row r="94" spans="1:6" x14ac:dyDescent="0.25">
      <c r="A94">
        <v>90</v>
      </c>
      <c r="B94" t="str">
        <f>"Kiselicka, Emily (439341)"</f>
        <v>Kiselicka, Emily (439341)</v>
      </c>
      <c r="C94" t="str">
        <f>"Medford, WI"</f>
        <v>Medford, WI</v>
      </c>
      <c r="D94" t="str">
        <f>"571.9"</f>
        <v>571.9</v>
      </c>
      <c r="E94" t="str">
        <f>"581.8"</f>
        <v>581.8</v>
      </c>
      <c r="F94" t="str">
        <f>"1,153.7"</f>
        <v>1,153.7</v>
      </c>
    </row>
    <row r="95" spans="1:6" x14ac:dyDescent="0.25">
      <c r="A95">
        <v>91</v>
      </c>
      <c r="B95" t="str">
        <f>"Graves, Clover (484852)"</f>
        <v>Graves, Clover (484852)</v>
      </c>
      <c r="C95" t="str">
        <f>"Pocantico Hills, NY"</f>
        <v>Pocantico Hills, NY</v>
      </c>
      <c r="D95" t="str">
        <f>"585.4"</f>
        <v>585.4</v>
      </c>
      <c r="E95" t="str">
        <f>"563.0"</f>
        <v>563.0</v>
      </c>
      <c r="F95" t="str">
        <f>"1,148.4"</f>
        <v>1,148.4</v>
      </c>
    </row>
    <row r="96" spans="1:6" x14ac:dyDescent="0.25">
      <c r="A96">
        <v>92</v>
      </c>
      <c r="B96" t="str">
        <f>"Feliz, Darcy (430360)"</f>
        <v>Feliz, Darcy (430360)</v>
      </c>
      <c r="C96" t="str">
        <f>"Springfield, VA"</f>
        <v>Springfield, VA</v>
      </c>
      <c r="D96" t="str">
        <f>"578.4"</f>
        <v>578.4</v>
      </c>
      <c r="E96" t="str">
        <f>"568.9"</f>
        <v>568.9</v>
      </c>
      <c r="F96" t="str">
        <f>"1,147.3"</f>
        <v>1,147.3</v>
      </c>
    </row>
    <row r="97" spans="1:6" x14ac:dyDescent="0.25">
      <c r="A97">
        <v>93</v>
      </c>
      <c r="B97" t="str">
        <f>"Knaus, Anna (407493)"</f>
        <v>Knaus, Anna (407493)</v>
      </c>
      <c r="C97" t="str">
        <f>"Marietta, OH"</f>
        <v>Marietta, OH</v>
      </c>
      <c r="D97" t="str">
        <f>"572.0"</f>
        <v>572.0</v>
      </c>
      <c r="E97" t="str">
        <f>"570.8"</f>
        <v>570.8</v>
      </c>
      <c r="F97" t="str">
        <f>"1,142.8"</f>
        <v>1,142.8</v>
      </c>
    </row>
    <row r="98" spans="1:6" x14ac:dyDescent="0.25">
      <c r="A98">
        <v>94</v>
      </c>
      <c r="B98" t="str">
        <f>"Kush, Aurora (427538)"</f>
        <v>Kush, Aurora (427538)</v>
      </c>
      <c r="C98" t="str">
        <f>"Cranberry, PA"</f>
        <v>Cranberry, PA</v>
      </c>
      <c r="D98" t="str">
        <f>"562.1"</f>
        <v>562.1</v>
      </c>
      <c r="E98" t="str">
        <f>"577.1"</f>
        <v>577.1</v>
      </c>
      <c r="F98" t="str">
        <f>"1,139.2"</f>
        <v>1,139.2</v>
      </c>
    </row>
    <row r="99" spans="1:6" x14ac:dyDescent="0.25">
      <c r="A99">
        <v>95</v>
      </c>
      <c r="B99" t="str">
        <f>"Lee, Olivia (458615)"</f>
        <v>Lee, Olivia (458615)</v>
      </c>
      <c r="C99" t="str">
        <f>"Oak Grove , MN"</f>
        <v>Oak Grove , MN</v>
      </c>
      <c r="D99" t="str">
        <f>"572.3"</f>
        <v>572.3</v>
      </c>
      <c r="E99" t="str">
        <f>"564.1"</f>
        <v>564.1</v>
      </c>
      <c r="F99" t="str">
        <f>"1,136.4"</f>
        <v>1,136.4</v>
      </c>
    </row>
    <row r="100" spans="1:6" x14ac:dyDescent="0.25">
      <c r="A100">
        <v>96</v>
      </c>
      <c r="B100" t="str">
        <f>"Kelly, Meaghan (405504)"</f>
        <v>Kelly, Meaghan (405504)</v>
      </c>
      <c r="C100" t="str">
        <f>"Washington, DC"</f>
        <v>Washington, DC</v>
      </c>
      <c r="D100" t="str">
        <f>"557.1"</f>
        <v>557.1</v>
      </c>
      <c r="E100" t="str">
        <f>"579.2"</f>
        <v>579.2</v>
      </c>
      <c r="F100" t="str">
        <f>"1,136.3"</f>
        <v>1,136.3</v>
      </c>
    </row>
    <row r="101" spans="1:6" x14ac:dyDescent="0.25">
      <c r="A101">
        <v>97</v>
      </c>
      <c r="B101" t="str">
        <f>"Harris, Ruby (469909)"</f>
        <v>Harris, Ruby (469909)</v>
      </c>
      <c r="C101" t="str">
        <f>"Troy, OH"</f>
        <v>Troy, OH</v>
      </c>
      <c r="D101" t="str">
        <f>"568.8"</f>
        <v>568.8</v>
      </c>
      <c r="E101" t="str">
        <f>"564.7"</f>
        <v>564.7</v>
      </c>
      <c r="F101" t="str">
        <f>"1,133.5"</f>
        <v>1,133.5</v>
      </c>
    </row>
    <row r="102" spans="1:6" x14ac:dyDescent="0.25">
      <c r="A102">
        <v>98</v>
      </c>
      <c r="B102" t="str">
        <f>"Street, Danielle (465694)"</f>
        <v>Street, Danielle (465694)</v>
      </c>
      <c r="C102" t="str">
        <f>"Burke, VA"</f>
        <v>Burke, VA</v>
      </c>
      <c r="D102" t="str">
        <f>"556.6"</f>
        <v>556.6</v>
      </c>
      <c r="E102" t="str">
        <f>"563.6"</f>
        <v>563.6</v>
      </c>
      <c r="F102" t="str">
        <f>"1,120.2"</f>
        <v>1,120.2</v>
      </c>
    </row>
    <row r="103" spans="1:6" x14ac:dyDescent="0.25">
      <c r="A103">
        <v>99</v>
      </c>
      <c r="B103" t="str">
        <f>"Bakle, Abigail (485187)"</f>
        <v>Bakle, Abigail (485187)</v>
      </c>
      <c r="C103" t="str">
        <f>"Ridgefield, CT"</f>
        <v>Ridgefield, CT</v>
      </c>
      <c r="D103" t="str">
        <f>"556.1"</f>
        <v>556.1</v>
      </c>
      <c r="E103" t="str">
        <f>"548.4"</f>
        <v>548.4</v>
      </c>
      <c r="F103" t="str">
        <f>"1,104.5"</f>
        <v>1,104.5</v>
      </c>
    </row>
    <row r="104" spans="1:6" x14ac:dyDescent="0.25">
      <c r="A104">
        <v>100</v>
      </c>
      <c r="B104" t="str">
        <f>"Wagner, Devin (437997)"</f>
        <v>Wagner, Devin (437997)</v>
      </c>
      <c r="C104" t="str">
        <f>"Jefferson Hills, PA"</f>
        <v>Jefferson Hills, PA</v>
      </c>
      <c r="D104" t="str">
        <f>"610.6"</f>
        <v>610.6</v>
      </c>
      <c r="E104" t="str">
        <f>""</f>
        <v/>
      </c>
      <c r="F104" t="str">
        <f>"610.6"</f>
        <v>610.6</v>
      </c>
    </row>
    <row r="105" spans="1:6" x14ac:dyDescent="0.25">
      <c r="A105">
        <v>101</v>
      </c>
      <c r="B105" t="str">
        <f>"Nouel, Yuberka (431660)"</f>
        <v>Nouel, Yuberka (431660)</v>
      </c>
      <c r="C105" t="str">
        <f>"Flushing, NY"</f>
        <v>Flushing, NY</v>
      </c>
      <c r="D105" t="str">
        <f>""</f>
        <v/>
      </c>
      <c r="E105" t="str">
        <f>"597.9"</f>
        <v>597.9</v>
      </c>
      <c r="F105" t="str">
        <f>"597.9"</f>
        <v>597.9</v>
      </c>
    </row>
    <row r="106" spans="1:6" x14ac:dyDescent="0.25">
      <c r="A106">
        <v>102</v>
      </c>
      <c r="B106" t="str">
        <f>"Valenta, Emily (370630)"</f>
        <v>Valenta, Emily (370630)</v>
      </c>
      <c r="C106" t="str">
        <f>"Harrison City, PA"</f>
        <v>Harrison City, PA</v>
      </c>
      <c r="D106" t="str">
        <f>"241.1"</f>
        <v>241.1</v>
      </c>
      <c r="E106" t="str">
        <f>""</f>
        <v/>
      </c>
      <c r="F106" t="str">
        <f>"241.1"</f>
        <v>241.1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DEC4-AC08-478E-A909-E0518AC90B4F}">
  <dimension ref="A1:T27"/>
  <sheetViews>
    <sheetView workbookViewId="0">
      <selection activeCell="A16" sqref="A16:T27"/>
    </sheetView>
  </sheetViews>
  <sheetFormatPr defaultRowHeight="15" x14ac:dyDescent="0.25"/>
  <cols>
    <col min="1" max="1" width="34.140625" bestFit="1" customWidth="1"/>
    <col min="2" max="2" width="28.85546875" bestFit="1" customWidth="1"/>
    <col min="3" max="3" width="15.7109375" bestFit="1" customWidth="1"/>
  </cols>
  <sheetData>
    <row r="1" spans="1:20" x14ac:dyDescent="0.25">
      <c r="A1" t="str">
        <f>"2024 USAS Winter Air Gun Camp Perry"</f>
        <v>2024 USAS Winter Air Gun Camp Perry</v>
      </c>
    </row>
    <row r="2" spans="1:20" x14ac:dyDescent="0.25">
      <c r="A2" t="str">
        <f>"Open Rifle Finals - Women"</f>
        <v>Open Rifle Finals - Women</v>
      </c>
    </row>
    <row r="3" spans="1:20" x14ac:dyDescent="0.25">
      <c r="A3" t="str">
        <f>""</f>
        <v/>
      </c>
    </row>
    <row r="4" spans="1:20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"ISSF Final, First 5 Shot Stage"</f>
        <v>ISSF Final, First 5 Shot Stage</v>
      </c>
      <c r="E4" t="str">
        <f>"ISSF Final, Second 5 Shot"</f>
        <v>ISSF Final, Second 5 Shot</v>
      </c>
      <c r="F4" t="str">
        <f>"ISSF Final, First 2 Shot"</f>
        <v>ISSF Final, First 2 Shot</v>
      </c>
      <c r="G4" t="str">
        <f>"ISSF Final, Shootoff after F3"</f>
        <v>ISSF Final, Shootoff after F3</v>
      </c>
      <c r="H4" t="str">
        <f>"ISSF Final, Second 2 Shot"</f>
        <v>ISSF Final, Second 2 Shot</v>
      </c>
      <c r="I4" t="str">
        <f>"ISSF Final, Shootoff after F4"</f>
        <v>ISSF Final, Shootoff after F4</v>
      </c>
      <c r="J4" t="str">
        <f>"ISSF Final, Third 2 Shot"</f>
        <v>ISSF Final, Third 2 Shot</v>
      </c>
      <c r="K4" t="str">
        <f>"ISSF Final, Shootoff after F5"</f>
        <v>ISSF Final, Shootoff after F5</v>
      </c>
      <c r="L4" t="str">
        <f>"ISSF Final, Fourth 2 Shot"</f>
        <v>ISSF Final, Fourth 2 Shot</v>
      </c>
      <c r="M4" t="str">
        <f>"ISSF Final, Shootoff after F6"</f>
        <v>ISSF Final, Shootoff after F6</v>
      </c>
      <c r="N4" t="str">
        <f>"ISSF Final, Fifth 2 Shot"</f>
        <v>ISSF Final, Fifth 2 Shot</v>
      </c>
      <c r="O4" t="str">
        <f>"ISSF Final, Shootoff after F7"</f>
        <v>ISSF Final, Shootoff after F7</v>
      </c>
      <c r="P4" t="str">
        <f>"ISSF Final, Sixth 2 Shot"</f>
        <v>ISSF Final, Sixth 2 Shot</v>
      </c>
      <c r="Q4" t="str">
        <f>"ISSF Final, Shootoff after F8"</f>
        <v>ISSF Final, Shootoff after F8</v>
      </c>
      <c r="R4" t="str">
        <f>"ISSF Final, Seventh 2 Shot"</f>
        <v>ISSF Final, Seventh 2 Shot</v>
      </c>
      <c r="S4" t="str">
        <f>"ISSF Final, Shootoff after F9"</f>
        <v>ISSF Final, Shootoff after F9</v>
      </c>
      <c r="T4" t="str">
        <f>"Aggregate"</f>
        <v>Aggregate</v>
      </c>
    </row>
    <row r="5" spans="1:20" x14ac:dyDescent="0.25">
      <c r="A5">
        <v>1</v>
      </c>
      <c r="B5" t="str">
        <f>"Weisz, Alison, SGT, USA (54339)"</f>
        <v>Weisz, Alison, SGT, USA (54339)</v>
      </c>
      <c r="C5" t="str">
        <f>"Belgrade, MT"</f>
        <v>Belgrade, MT</v>
      </c>
      <c r="D5" t="str">
        <f>"52.8"</f>
        <v>52.8</v>
      </c>
      <c r="E5" t="str">
        <f>"52.5"</f>
        <v>52.5</v>
      </c>
      <c r="F5" t="str">
        <f>"21.2"</f>
        <v>21.2</v>
      </c>
      <c r="G5" t="str">
        <f>"20.3"</f>
        <v>20.3</v>
      </c>
      <c r="H5" t="str">
        <f>"20.8"</f>
        <v>20.8</v>
      </c>
      <c r="I5" t="str">
        <f>""</f>
        <v/>
      </c>
      <c r="J5" t="str">
        <f>"21.1"</f>
        <v>21.1</v>
      </c>
      <c r="K5" t="str">
        <f>""</f>
        <v/>
      </c>
      <c r="L5" t="str">
        <f>"20.8"</f>
        <v>20.8</v>
      </c>
      <c r="M5" t="str">
        <f>""</f>
        <v/>
      </c>
      <c r="N5" t="str">
        <f>"20.8"</f>
        <v>20.8</v>
      </c>
      <c r="O5" t="str">
        <f>""</f>
        <v/>
      </c>
      <c r="P5" t="str">
        <f>""</f>
        <v/>
      </c>
      <c r="Q5" t="str">
        <f>""</f>
        <v/>
      </c>
      <c r="R5" t="str">
        <f>"20.5"</f>
        <v>20.5</v>
      </c>
      <c r="S5" t="str">
        <f>""</f>
        <v/>
      </c>
      <c r="T5" t="str">
        <f>"230.5"</f>
        <v>230.5</v>
      </c>
    </row>
    <row r="6" spans="1:20" x14ac:dyDescent="0.25">
      <c r="A6">
        <v>2</v>
      </c>
      <c r="B6" t="str">
        <f>"Camp, Camryn (364938)"</f>
        <v>Camp, Camryn (364938)</v>
      </c>
      <c r="C6" t="str">
        <f>"Hillsboro , TX"</f>
        <v>Hillsboro , TX</v>
      </c>
      <c r="D6" t="str">
        <f>"52.0"</f>
        <v>52.0</v>
      </c>
      <c r="E6" t="str">
        <f>"52.7"</f>
        <v>52.7</v>
      </c>
      <c r="F6" t="str">
        <f>"21.2"</f>
        <v>21.2</v>
      </c>
      <c r="G6" t="str">
        <f>"21.1"</f>
        <v>21.1</v>
      </c>
      <c r="H6" t="str">
        <f>"21.0"</f>
        <v>21.0</v>
      </c>
      <c r="I6" t="str">
        <f>""</f>
        <v/>
      </c>
      <c r="J6" t="str">
        <f>"20.8"</f>
        <v>20.8</v>
      </c>
      <c r="K6" t="str">
        <f>""</f>
        <v/>
      </c>
      <c r="L6" t="str">
        <f>"20.7"</f>
        <v>20.7</v>
      </c>
      <c r="M6" t="str">
        <f>""</f>
        <v/>
      </c>
      <c r="N6" t="str">
        <f>"20.6"</f>
        <v>20.6</v>
      </c>
      <c r="O6" t="str">
        <f>""</f>
        <v/>
      </c>
      <c r="P6" t="str">
        <f>""</f>
        <v/>
      </c>
      <c r="Q6" t="str">
        <f>""</f>
        <v/>
      </c>
      <c r="R6" t="str">
        <f>"21.2"</f>
        <v>21.2</v>
      </c>
      <c r="S6" t="str">
        <f>""</f>
        <v/>
      </c>
      <c r="T6" t="str">
        <f>"230.2"</f>
        <v>230.2</v>
      </c>
    </row>
    <row r="7" spans="1:20" x14ac:dyDescent="0.25">
      <c r="A7">
        <v>3</v>
      </c>
      <c r="B7" t="str">
        <f>"Walrath, Emme (369838)"</f>
        <v>Walrath, Emme (369838)</v>
      </c>
      <c r="C7" t="str">
        <f>"Kenosha, WI"</f>
        <v>Kenosha, WI</v>
      </c>
      <c r="D7" t="str">
        <f>"53.1"</f>
        <v>53.1</v>
      </c>
      <c r="E7" t="str">
        <f>"50.8"</f>
        <v>50.8</v>
      </c>
      <c r="F7" t="str">
        <f>"20.8"</f>
        <v>20.8</v>
      </c>
      <c r="G7" t="str">
        <f>""</f>
        <v/>
      </c>
      <c r="H7" t="str">
        <f>"20.7"</f>
        <v>20.7</v>
      </c>
      <c r="I7" t="str">
        <f>""</f>
        <v/>
      </c>
      <c r="J7" t="str">
        <f>"21.0"</f>
        <v>21.0</v>
      </c>
      <c r="K7" t="str">
        <f>""</f>
        <v/>
      </c>
      <c r="L7" t="str">
        <f>"20.9"</f>
        <v>20.9</v>
      </c>
      <c r="M7" t="str">
        <f>""</f>
        <v/>
      </c>
      <c r="N7" t="str">
        <f>"21.2"</f>
        <v>21.2</v>
      </c>
      <c r="O7" t="str">
        <f>""</f>
        <v/>
      </c>
      <c r="P7" t="str">
        <f>""</f>
        <v/>
      </c>
      <c r="Q7" t="str">
        <f>""</f>
        <v/>
      </c>
      <c r="R7" t="str">
        <f>"21.0"</f>
        <v>21.0</v>
      </c>
      <c r="S7" t="str">
        <f>""</f>
        <v/>
      </c>
      <c r="T7" t="str">
        <f>"229.5"</f>
        <v>229.5</v>
      </c>
    </row>
    <row r="8" spans="1:20" x14ac:dyDescent="0.25">
      <c r="A8">
        <v>4</v>
      </c>
      <c r="B8" t="str">
        <f>"Kelly, Alana (168868)"</f>
        <v>Kelly, Alana (168868)</v>
      </c>
      <c r="C8" t="str">
        <f>"Port Clinton, OH"</f>
        <v>Port Clinton, OH</v>
      </c>
      <c r="D8" t="str">
        <f>"51.8"</f>
        <v>51.8</v>
      </c>
      <c r="E8" t="str">
        <f>"52.4"</f>
        <v>52.4</v>
      </c>
      <c r="F8" t="str">
        <f>"21.3"</f>
        <v>21.3</v>
      </c>
      <c r="G8" t="str">
        <f>""</f>
        <v/>
      </c>
      <c r="H8" t="str">
        <f>"21.0"</f>
        <v>21.0</v>
      </c>
      <c r="I8" t="str">
        <f>""</f>
        <v/>
      </c>
      <c r="J8" t="str">
        <f>"20.3"</f>
        <v>20.3</v>
      </c>
      <c r="K8" t="str">
        <f>""</f>
        <v/>
      </c>
      <c r="L8" t="str">
        <f>"20.6"</f>
        <v>20.6</v>
      </c>
      <c r="M8" t="str">
        <f>""</f>
        <v/>
      </c>
      <c r="N8" t="str">
        <f>"20.2"</f>
        <v>20.2</v>
      </c>
      <c r="O8" t="str">
        <f>""</f>
        <v/>
      </c>
      <c r="P8" t="str">
        <f>""</f>
        <v/>
      </c>
      <c r="Q8" t="str">
        <f>""</f>
        <v/>
      </c>
      <c r="R8" t="str">
        <f>""</f>
        <v/>
      </c>
      <c r="S8" t="str">
        <f>""</f>
        <v/>
      </c>
      <c r="T8" t="str">
        <f>"207.6"</f>
        <v>207.6</v>
      </c>
    </row>
    <row r="9" spans="1:20" x14ac:dyDescent="0.25">
      <c r="A9">
        <v>5</v>
      </c>
      <c r="B9" t="str">
        <f>"Blake, Ashlyn (408788)"</f>
        <v>Blake, Ashlyn (408788)</v>
      </c>
      <c r="C9" t="str">
        <f>"Sparta, NJ"</f>
        <v>Sparta, NJ</v>
      </c>
      <c r="D9" t="str">
        <f>"51.6"</f>
        <v>51.6</v>
      </c>
      <c r="E9" t="str">
        <f>"52.4"</f>
        <v>52.4</v>
      </c>
      <c r="F9" t="str">
        <f>"20.8"</f>
        <v>20.8</v>
      </c>
      <c r="G9" t="str">
        <f>""</f>
        <v/>
      </c>
      <c r="H9" t="str">
        <f>"20.6"</f>
        <v>20.6</v>
      </c>
      <c r="I9" t="str">
        <f>""</f>
        <v/>
      </c>
      <c r="J9" t="str">
        <f>"20.6"</f>
        <v>20.6</v>
      </c>
      <c r="K9" t="str">
        <f>""</f>
        <v/>
      </c>
      <c r="L9" t="str">
        <f>"20.3"</f>
        <v>20.3</v>
      </c>
      <c r="M9" t="str">
        <f>""</f>
        <v/>
      </c>
      <c r="N9" t="str">
        <f>""</f>
        <v/>
      </c>
      <c r="O9" t="str">
        <f>""</f>
        <v/>
      </c>
      <c r="P9" t="str">
        <f>""</f>
        <v/>
      </c>
      <c r="Q9" t="str">
        <f>""</f>
        <v/>
      </c>
      <c r="R9" t="str">
        <f>""</f>
        <v/>
      </c>
      <c r="S9" t="str">
        <f>""</f>
        <v/>
      </c>
      <c r="T9" t="str">
        <f>"186.3"</f>
        <v>186.3</v>
      </c>
    </row>
    <row r="10" spans="1:20" x14ac:dyDescent="0.25">
      <c r="A10">
        <v>6</v>
      </c>
      <c r="B10" t="str">
        <f>"Baldwin, Isabella (347836)"</f>
        <v>Baldwin, Isabella (347836)</v>
      </c>
      <c r="C10" t="str">
        <f>"Nashville, TN"</f>
        <v>Nashville, TN</v>
      </c>
      <c r="D10" t="str">
        <f>"50.3"</f>
        <v>50.3</v>
      </c>
      <c r="E10" t="str">
        <f>"52.1"</f>
        <v>52.1</v>
      </c>
      <c r="F10" t="str">
        <f>"20.8"</f>
        <v>20.8</v>
      </c>
      <c r="G10" t="str">
        <f>""</f>
        <v/>
      </c>
      <c r="H10" t="str">
        <f>"20.2"</f>
        <v>20.2</v>
      </c>
      <c r="I10" t="str">
        <f>""</f>
        <v/>
      </c>
      <c r="J10" t="str">
        <f>"20.3"</f>
        <v>20.3</v>
      </c>
      <c r="K10" t="str">
        <f>""</f>
        <v/>
      </c>
      <c r="L10" t="str">
        <f>""</f>
        <v/>
      </c>
      <c r="M10" t="str">
        <f>""</f>
        <v/>
      </c>
      <c r="N10" t="str">
        <f>""</f>
        <v/>
      </c>
      <c r="O10" t="str">
        <f>""</f>
        <v/>
      </c>
      <c r="P10" t="str">
        <f>""</f>
        <v/>
      </c>
      <c r="Q10" t="str">
        <f>""</f>
        <v/>
      </c>
      <c r="R10" t="str">
        <f>""</f>
        <v/>
      </c>
      <c r="S10" t="str">
        <f>""</f>
        <v/>
      </c>
      <c r="T10" t="str">
        <f>"163.7"</f>
        <v>163.7</v>
      </c>
    </row>
    <row r="11" spans="1:20" x14ac:dyDescent="0.25">
      <c r="A11">
        <v>7</v>
      </c>
      <c r="B11" t="str">
        <f>"Butler, Bremen (301932)"</f>
        <v>Butler, Bremen (301932)</v>
      </c>
      <c r="C11" t="str">
        <f>"Fort Wayne, IN"</f>
        <v>Fort Wayne, IN</v>
      </c>
      <c r="D11" t="str">
        <f>"50.9"</f>
        <v>50.9</v>
      </c>
      <c r="E11" t="str">
        <f>"52.1"</f>
        <v>52.1</v>
      </c>
      <c r="F11" t="str">
        <f>"19.6"</f>
        <v>19.6</v>
      </c>
      <c r="G11" t="str">
        <f>""</f>
        <v/>
      </c>
      <c r="H11" t="str">
        <f>"20.5"</f>
        <v>20.5</v>
      </c>
      <c r="I11" t="str">
        <f>""</f>
        <v/>
      </c>
      <c r="J11" t="str">
        <f>""</f>
        <v/>
      </c>
      <c r="K11" t="str">
        <f>""</f>
        <v/>
      </c>
      <c r="L11" t="str">
        <f>""</f>
        <v/>
      </c>
      <c r="M11" t="str">
        <f>""</f>
        <v/>
      </c>
      <c r="N11" t="str">
        <f>""</f>
        <v/>
      </c>
      <c r="O11" t="str">
        <f>""</f>
        <v/>
      </c>
      <c r="P11" t="str">
        <f>""</f>
        <v/>
      </c>
      <c r="Q11" t="str">
        <f>""</f>
        <v/>
      </c>
      <c r="R11" t="str">
        <f>""</f>
        <v/>
      </c>
      <c r="S11" t="str">
        <f>""</f>
        <v/>
      </c>
      <c r="T11" t="str">
        <f>"143.1"</f>
        <v>143.1</v>
      </c>
    </row>
    <row r="12" spans="1:20" x14ac:dyDescent="0.25">
      <c r="A12">
        <v>8</v>
      </c>
      <c r="B12" t="str">
        <f>"Probst, Elizabeth (290200)"</f>
        <v>Probst, Elizabeth (290200)</v>
      </c>
      <c r="C12" t="str">
        <f>"Brady, TX"</f>
        <v>Brady, TX</v>
      </c>
      <c r="D12" t="str">
        <f>"50.9"</f>
        <v>50.9</v>
      </c>
      <c r="E12" t="str">
        <f>"51.3"</f>
        <v>51.3</v>
      </c>
      <c r="F12" t="str">
        <f>"20.2"</f>
        <v>20.2</v>
      </c>
      <c r="G12" t="str">
        <f>""</f>
        <v/>
      </c>
      <c r="H12" t="str">
        <f>""</f>
        <v/>
      </c>
      <c r="I12" t="str">
        <f>""</f>
        <v/>
      </c>
      <c r="J12" t="str">
        <f>""</f>
        <v/>
      </c>
      <c r="K12" t="str">
        <f>""</f>
        <v/>
      </c>
      <c r="L12" t="str">
        <f>""</f>
        <v/>
      </c>
      <c r="M12" t="str">
        <f>""</f>
        <v/>
      </c>
      <c r="N12" t="str">
        <f>""</f>
        <v/>
      </c>
      <c r="O12" t="str">
        <f>""</f>
        <v/>
      </c>
      <c r="P12" t="str">
        <f>""</f>
        <v/>
      </c>
      <c r="Q12" t="str">
        <f>""</f>
        <v/>
      </c>
      <c r="R12" t="str">
        <f>""</f>
        <v/>
      </c>
      <c r="S12" t="str">
        <f>""</f>
        <v/>
      </c>
      <c r="T12" t="str">
        <f>"122.4"</f>
        <v>122.4</v>
      </c>
    </row>
    <row r="16" spans="1:20" x14ac:dyDescent="0.25">
      <c r="A16" t="str">
        <f>"2024 USAS Winter Air Gun Camp Perry"</f>
        <v>2024 USAS Winter Air Gun Camp Perry</v>
      </c>
    </row>
    <row r="17" spans="1:20" x14ac:dyDescent="0.25">
      <c r="A17" t="str">
        <f>"Junior Rifle Finals - Women"</f>
        <v>Junior Rifle Finals - Women</v>
      </c>
    </row>
    <row r="18" spans="1:20" x14ac:dyDescent="0.25">
      <c r="A18" t="str">
        <f>""</f>
        <v/>
      </c>
    </row>
    <row r="19" spans="1:20" x14ac:dyDescent="0.25">
      <c r="A19" t="str">
        <f>"Place"</f>
        <v>Place</v>
      </c>
      <c r="B19" t="str">
        <f>"Competitor (Comp Num)"</f>
        <v>Competitor (Comp Num)</v>
      </c>
      <c r="C19" t="str">
        <f>"Hometown"</f>
        <v>Hometown</v>
      </c>
      <c r="D19" t="str">
        <f>"ISSF Final, First 5 Shot Stage"</f>
        <v>ISSF Final, First 5 Shot Stage</v>
      </c>
      <c r="E19" t="str">
        <f>"ISSF Final, Second 5 Shot"</f>
        <v>ISSF Final, Second 5 Shot</v>
      </c>
      <c r="F19" t="str">
        <f>"ISSF Final, First 2 Shot"</f>
        <v>ISSF Final, First 2 Shot</v>
      </c>
      <c r="G19" t="str">
        <f>"ISSF Final, Shootoff after F3"</f>
        <v>ISSF Final, Shootoff after F3</v>
      </c>
      <c r="H19" t="str">
        <f>"ISSF Final, Second 2 Shot"</f>
        <v>ISSF Final, Second 2 Shot</v>
      </c>
      <c r="I19" t="str">
        <f>"ISSF Final, Shootoff after F4"</f>
        <v>ISSF Final, Shootoff after F4</v>
      </c>
      <c r="J19" t="str">
        <f>"ISSF Final, Third 2 Shot"</f>
        <v>ISSF Final, Third 2 Shot</v>
      </c>
      <c r="K19" t="str">
        <f>"ISSF Final, Shootoff after F5"</f>
        <v>ISSF Final, Shootoff after F5</v>
      </c>
      <c r="L19" t="str">
        <f>"ISSF Final, Fourth 2 Shot"</f>
        <v>ISSF Final, Fourth 2 Shot</v>
      </c>
      <c r="M19" t="str">
        <f>"ISSF Final, Shootoff after F6"</f>
        <v>ISSF Final, Shootoff after F6</v>
      </c>
      <c r="N19" t="str">
        <f>"ISSF Final, Fifth 2 Shot"</f>
        <v>ISSF Final, Fifth 2 Shot</v>
      </c>
      <c r="O19" t="str">
        <f>"ISSF Final, Shootoff after F7"</f>
        <v>ISSF Final, Shootoff after F7</v>
      </c>
      <c r="P19" t="str">
        <f>"ISSF Final, Sixth 2 Shot"</f>
        <v>ISSF Final, Sixth 2 Shot</v>
      </c>
      <c r="Q19" t="str">
        <f>"ISSF Final, Shootoff after F8"</f>
        <v>ISSF Final, Shootoff after F8</v>
      </c>
      <c r="R19" t="str">
        <f>"ISSF Final, Seventh 2 Shot"</f>
        <v>ISSF Final, Seventh 2 Shot</v>
      </c>
      <c r="S19" t="str">
        <f>"ISSF Final, Shootoff after F9"</f>
        <v>ISSF Final, Shootoff after F9</v>
      </c>
      <c r="T19" t="str">
        <f>"Aggregate"</f>
        <v>Aggregate</v>
      </c>
    </row>
    <row r="20" spans="1:20" x14ac:dyDescent="0.25">
      <c r="A20">
        <v>1</v>
      </c>
      <c r="B20" t="str">
        <f>"Walrath, Emme (369838)"</f>
        <v>Walrath, Emme (369838)</v>
      </c>
      <c r="C20" t="str">
        <f>"Kenosha, WI"</f>
        <v>Kenosha, WI</v>
      </c>
      <c r="D20" t="str">
        <f>"51.8"</f>
        <v>51.8</v>
      </c>
      <c r="E20" t="str">
        <f>"52.9"</f>
        <v>52.9</v>
      </c>
      <c r="F20" t="str">
        <f>"20.7"</f>
        <v>20.7</v>
      </c>
      <c r="G20" t="str">
        <f>""</f>
        <v/>
      </c>
      <c r="H20" t="str">
        <f>"20.3"</f>
        <v>20.3</v>
      </c>
      <c r="I20" t="str">
        <f>""</f>
        <v/>
      </c>
      <c r="J20" t="str">
        <f>"21.1"</f>
        <v>21.1</v>
      </c>
      <c r="K20" t="str">
        <f>""</f>
        <v/>
      </c>
      <c r="L20" t="str">
        <f>"21.3"</f>
        <v>21.3</v>
      </c>
      <c r="M20" t="str">
        <f>""</f>
        <v/>
      </c>
      <c r="N20" t="str">
        <f>"21.0"</f>
        <v>21.0</v>
      </c>
      <c r="O20" t="str">
        <f>""</f>
        <v/>
      </c>
      <c r="P20" t="str">
        <f>"21.2"</f>
        <v>21.2</v>
      </c>
      <c r="Q20" t="str">
        <f>""</f>
        <v/>
      </c>
      <c r="R20" t="str">
        <f>"21.2"</f>
        <v>21.2</v>
      </c>
      <c r="S20" t="str">
        <f>""</f>
        <v/>
      </c>
      <c r="T20" t="str">
        <f>"251.5"</f>
        <v>251.5</v>
      </c>
    </row>
    <row r="21" spans="1:20" x14ac:dyDescent="0.25">
      <c r="A21">
        <v>2</v>
      </c>
      <c r="B21" t="str">
        <f>"Blake, Ashlyn (408788)"</f>
        <v>Blake, Ashlyn (408788)</v>
      </c>
      <c r="C21" t="str">
        <f>"Sparta, NJ"</f>
        <v>Sparta, NJ</v>
      </c>
      <c r="D21" t="str">
        <f>"52.1"</f>
        <v>52.1</v>
      </c>
      <c r="E21" t="str">
        <f>"53.3"</f>
        <v>53.3</v>
      </c>
      <c r="F21" t="str">
        <f>"20.9"</f>
        <v>20.9</v>
      </c>
      <c r="G21" t="str">
        <f>""</f>
        <v/>
      </c>
      <c r="H21" t="str">
        <f>"20.6"</f>
        <v>20.6</v>
      </c>
      <c r="I21" t="str">
        <f>""</f>
        <v/>
      </c>
      <c r="J21" t="str">
        <f>"20.2"</f>
        <v>20.2</v>
      </c>
      <c r="K21" t="str">
        <f>""</f>
        <v/>
      </c>
      <c r="L21" t="str">
        <f>"20.8"</f>
        <v>20.8</v>
      </c>
      <c r="M21" t="str">
        <f>""</f>
        <v/>
      </c>
      <c r="N21" t="str">
        <f>"20.9"</f>
        <v>20.9</v>
      </c>
      <c r="O21" t="str">
        <f>""</f>
        <v/>
      </c>
      <c r="P21" t="str">
        <f>"20.9"</f>
        <v>20.9</v>
      </c>
      <c r="Q21" t="str">
        <f>""</f>
        <v/>
      </c>
      <c r="R21" t="str">
        <f>"20.8"</f>
        <v>20.8</v>
      </c>
      <c r="S21" t="str">
        <f>""</f>
        <v/>
      </c>
      <c r="T21" t="str">
        <f>"250.5"</f>
        <v>250.5</v>
      </c>
    </row>
    <row r="22" spans="1:20" x14ac:dyDescent="0.25">
      <c r="A22">
        <v>3</v>
      </c>
      <c r="B22" t="str">
        <f>"Camp, Camryn (364938)"</f>
        <v>Camp, Camryn (364938)</v>
      </c>
      <c r="C22" t="str">
        <f>"Hillsboro , TX"</f>
        <v>Hillsboro , TX</v>
      </c>
      <c r="D22" t="str">
        <f>"52.3"</f>
        <v>52.3</v>
      </c>
      <c r="E22" t="str">
        <f>"52.1"</f>
        <v>52.1</v>
      </c>
      <c r="F22" t="str">
        <f>"20.6"</f>
        <v>20.6</v>
      </c>
      <c r="G22" t="str">
        <f>""</f>
        <v/>
      </c>
      <c r="H22" t="str">
        <f>"20.9"</f>
        <v>20.9</v>
      </c>
      <c r="I22" t="str">
        <f>""</f>
        <v/>
      </c>
      <c r="J22" t="str">
        <f>"20.6"</f>
        <v>20.6</v>
      </c>
      <c r="K22" t="str">
        <f>""</f>
        <v/>
      </c>
      <c r="L22" t="str">
        <f>"20.8"</f>
        <v>20.8</v>
      </c>
      <c r="M22" t="str">
        <f>""</f>
        <v/>
      </c>
      <c r="N22" t="str">
        <f>"21.2"</f>
        <v>21.2</v>
      </c>
      <c r="O22" t="str">
        <f>""</f>
        <v/>
      </c>
      <c r="P22" t="str">
        <f>"21.0"</f>
        <v>21.0</v>
      </c>
      <c r="Q22" t="str">
        <f>""</f>
        <v/>
      </c>
      <c r="R22" t="str">
        <f>""</f>
        <v/>
      </c>
      <c r="S22" t="str">
        <f>""</f>
        <v/>
      </c>
      <c r="T22" t="str">
        <f>"229.5"</f>
        <v>229.5</v>
      </c>
    </row>
    <row r="23" spans="1:20" x14ac:dyDescent="0.25">
      <c r="A23">
        <v>4</v>
      </c>
      <c r="B23" t="str">
        <f>"Butler, Bremen (301932)"</f>
        <v>Butler, Bremen (301932)</v>
      </c>
      <c r="C23" t="str">
        <f>"Fort Wayne, IN"</f>
        <v>Fort Wayne, IN</v>
      </c>
      <c r="D23" t="str">
        <f>"51.8"</f>
        <v>51.8</v>
      </c>
      <c r="E23" t="str">
        <f>"52.5"</f>
        <v>52.5</v>
      </c>
      <c r="F23" t="str">
        <f>"21.2"</f>
        <v>21.2</v>
      </c>
      <c r="G23" t="str">
        <f>""</f>
        <v/>
      </c>
      <c r="H23" t="str">
        <f>"20.8"</f>
        <v>20.8</v>
      </c>
      <c r="I23" t="str">
        <f>""</f>
        <v/>
      </c>
      <c r="J23" t="str">
        <f>"20.5"</f>
        <v>20.5</v>
      </c>
      <c r="K23" t="str">
        <f>""</f>
        <v/>
      </c>
      <c r="L23" t="str">
        <f>"20.4"</f>
        <v>20.4</v>
      </c>
      <c r="M23" t="str">
        <f>""</f>
        <v/>
      </c>
      <c r="N23" t="str">
        <f>"21.1"</f>
        <v>21.1</v>
      </c>
      <c r="O23" t="str">
        <f>""</f>
        <v/>
      </c>
      <c r="P23" t="str">
        <f>""</f>
        <v/>
      </c>
      <c r="Q23" t="str">
        <f>""</f>
        <v/>
      </c>
      <c r="R23" t="str">
        <f>""</f>
        <v/>
      </c>
      <c r="S23" t="str">
        <f>""</f>
        <v/>
      </c>
      <c r="T23" t="str">
        <f>"208.3"</f>
        <v>208.3</v>
      </c>
    </row>
    <row r="24" spans="1:20" x14ac:dyDescent="0.25">
      <c r="A24">
        <v>5</v>
      </c>
      <c r="B24" t="str">
        <f>"Probst, Elizabeth (290200)"</f>
        <v>Probst, Elizabeth (290200)</v>
      </c>
      <c r="C24" t="str">
        <f>"Brady, TX"</f>
        <v>Brady, TX</v>
      </c>
      <c r="D24" t="str">
        <f>"51.0"</f>
        <v>51.0</v>
      </c>
      <c r="E24" t="str">
        <f>"52.2"</f>
        <v>52.2</v>
      </c>
      <c r="F24" t="str">
        <f>"20.6"</f>
        <v>20.6</v>
      </c>
      <c r="G24" t="str">
        <f>""</f>
        <v/>
      </c>
      <c r="H24" t="str">
        <f>"21.0"</f>
        <v>21.0</v>
      </c>
      <c r="I24" t="str">
        <f>""</f>
        <v/>
      </c>
      <c r="J24" t="str">
        <f>"20.9"</f>
        <v>20.9</v>
      </c>
      <c r="K24" t="str">
        <f>""</f>
        <v/>
      </c>
      <c r="L24" t="str">
        <f>"21.1"</f>
        <v>21.1</v>
      </c>
      <c r="M24" t="str">
        <f>""</f>
        <v/>
      </c>
      <c r="N24" t="str">
        <f>""</f>
        <v/>
      </c>
      <c r="O24" t="str">
        <f>""</f>
        <v/>
      </c>
      <c r="P24" t="str">
        <f>""</f>
        <v/>
      </c>
      <c r="Q24" t="str">
        <f>""</f>
        <v/>
      </c>
      <c r="R24" t="str">
        <f>""</f>
        <v/>
      </c>
      <c r="S24" t="str">
        <f>""</f>
        <v/>
      </c>
      <c r="T24" t="str">
        <f>"186.8"</f>
        <v>186.8</v>
      </c>
    </row>
    <row r="25" spans="1:20" x14ac:dyDescent="0.25">
      <c r="A25">
        <v>6</v>
      </c>
      <c r="B25" t="str">
        <f>"Miller, Kelly (431659)"</f>
        <v>Miller, Kelly (431659)</v>
      </c>
      <c r="C25" t="str">
        <f>"Darien, CT"</f>
        <v>Darien, CT</v>
      </c>
      <c r="D25" t="str">
        <f>"51.7"</f>
        <v>51.7</v>
      </c>
      <c r="E25" t="str">
        <f>"51.1"</f>
        <v>51.1</v>
      </c>
      <c r="F25" t="str">
        <f>"20.9"</f>
        <v>20.9</v>
      </c>
      <c r="G25" t="str">
        <f>""</f>
        <v/>
      </c>
      <c r="H25" t="str">
        <f>"20.4"</f>
        <v>20.4</v>
      </c>
      <c r="I25" t="str">
        <f>""</f>
        <v/>
      </c>
      <c r="J25" t="str">
        <f>"19.1"</f>
        <v>19.1</v>
      </c>
      <c r="K25" t="str">
        <f>""</f>
        <v/>
      </c>
      <c r="L25" t="str">
        <f>""</f>
        <v/>
      </c>
      <c r="M25" t="str">
        <f>""</f>
        <v/>
      </c>
      <c r="N25" t="str">
        <f>""</f>
        <v/>
      </c>
      <c r="O25" t="str">
        <f>""</f>
        <v/>
      </c>
      <c r="P25" t="str">
        <f>""</f>
        <v/>
      </c>
      <c r="Q25" t="str">
        <f>""</f>
        <v/>
      </c>
      <c r="R25" t="str">
        <f>""</f>
        <v/>
      </c>
      <c r="S25" t="str">
        <f>""</f>
        <v/>
      </c>
      <c r="T25" t="str">
        <f>"163.2"</f>
        <v>163.2</v>
      </c>
    </row>
    <row r="26" spans="1:20" x14ac:dyDescent="0.25">
      <c r="A26">
        <v>7</v>
      </c>
      <c r="B26" t="str">
        <f>"Baldwin, Isabella (347836)"</f>
        <v>Baldwin, Isabella (347836)</v>
      </c>
      <c r="C26" t="str">
        <f>"Nashville, TN"</f>
        <v>Nashville, TN</v>
      </c>
      <c r="D26" t="str">
        <f>"51.7"</f>
        <v>51.7</v>
      </c>
      <c r="E26" t="str">
        <f>"51.4"</f>
        <v>51.4</v>
      </c>
      <c r="F26" t="str">
        <f>"21.0"</f>
        <v>21.0</v>
      </c>
      <c r="G26" t="str">
        <f>""</f>
        <v/>
      </c>
      <c r="H26" t="str">
        <f>"19.6"</f>
        <v>19.6</v>
      </c>
      <c r="I26" t="str">
        <f>""</f>
        <v/>
      </c>
      <c r="J26" t="str">
        <f>""</f>
        <v/>
      </c>
      <c r="K26" t="str">
        <f>""</f>
        <v/>
      </c>
      <c r="L26" t="str">
        <f>""</f>
        <v/>
      </c>
      <c r="M26" t="str">
        <f>""</f>
        <v/>
      </c>
      <c r="N26" t="str">
        <f>""</f>
        <v/>
      </c>
      <c r="O26" t="str">
        <f>""</f>
        <v/>
      </c>
      <c r="P26" t="str">
        <f>""</f>
        <v/>
      </c>
      <c r="Q26" t="str">
        <f>""</f>
        <v/>
      </c>
      <c r="R26" t="str">
        <f>""</f>
        <v/>
      </c>
      <c r="S26" t="str">
        <f>""</f>
        <v/>
      </c>
      <c r="T26" t="str">
        <f>"143.7"</f>
        <v>143.7</v>
      </c>
    </row>
    <row r="27" spans="1:20" x14ac:dyDescent="0.25">
      <c r="A27">
        <v>8</v>
      </c>
      <c r="B27" t="str">
        <f>"Valenta, Carlee (339877)"</f>
        <v>Valenta, Carlee (339877)</v>
      </c>
      <c r="C27" t="str">
        <f>"Harrison City, PA"</f>
        <v>Harrison City, PA</v>
      </c>
      <c r="D27" t="str">
        <f>"50.8"</f>
        <v>50.8</v>
      </c>
      <c r="E27" t="str">
        <f>"51.5"</f>
        <v>51.5</v>
      </c>
      <c r="F27" t="str">
        <f>"21.2"</f>
        <v>21.2</v>
      </c>
      <c r="G27" t="str">
        <f>""</f>
        <v/>
      </c>
      <c r="H27" t="str">
        <f>""</f>
        <v/>
      </c>
      <c r="I27" t="str">
        <f>""</f>
        <v/>
      </c>
      <c r="J27" t="str">
        <f>""</f>
        <v/>
      </c>
      <c r="K27" t="str">
        <f>""</f>
        <v/>
      </c>
      <c r="L27" t="str">
        <f>""</f>
        <v/>
      </c>
      <c r="M27" t="str">
        <f>""</f>
        <v/>
      </c>
      <c r="N27" t="str">
        <f>""</f>
        <v/>
      </c>
      <c r="O27" t="str">
        <f>""</f>
        <v/>
      </c>
      <c r="P27" t="str">
        <f>""</f>
        <v/>
      </c>
      <c r="Q27" t="str">
        <f>""</f>
        <v/>
      </c>
      <c r="R27" t="str">
        <f>""</f>
        <v/>
      </c>
      <c r="S27" t="str">
        <f>""</f>
        <v/>
      </c>
      <c r="T27" t="str">
        <f>"123.5"</f>
        <v>123.5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2613-6522-45FE-974B-F683FFC2BD62}">
  <dimension ref="A1:F76"/>
  <sheetViews>
    <sheetView workbookViewId="0">
      <selection activeCell="J4" sqref="J4"/>
    </sheetView>
  </sheetViews>
  <sheetFormatPr defaultRowHeight="15" x14ac:dyDescent="0.25"/>
  <cols>
    <col min="1" max="1" width="34.140625" bestFit="1" customWidth="1"/>
    <col min="2" max="2" width="31.5703125" bestFit="1" customWidth="1"/>
    <col min="3" max="3" width="20" bestFit="1" customWidth="1"/>
    <col min="4" max="4" width="5.7109375" bestFit="1" customWidth="1"/>
    <col min="5" max="5" width="10" bestFit="1" customWidth="1"/>
    <col min="6" max="6" width="9.5703125" bestFit="1" customWidth="1"/>
  </cols>
  <sheetData>
    <row r="1" spans="1:6" x14ac:dyDescent="0.25">
      <c r="A1" t="str">
        <f>"2024 USAS Winter Air Gun Camp Perry"</f>
        <v>2024 USAS Winter Air Gun Camp Perry</v>
      </c>
    </row>
    <row r="2" spans="1:6" x14ac:dyDescent="0.25">
      <c r="A2" t="str">
        <f>"Open Qualification - Men"</f>
        <v>Open Qualification - Men</v>
      </c>
    </row>
    <row r="3" spans="1:6" x14ac:dyDescent="0.25">
      <c r="A3" t="str">
        <f>""</f>
        <v/>
      </c>
    </row>
    <row r="4" spans="1:6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"D1 60"</f>
        <v>D1 60</v>
      </c>
      <c r="E4" t="str">
        <f>"D2 60 Rifle"</f>
        <v>D2 60 Rifle</v>
      </c>
      <c r="F4" t="str">
        <f>"Aggregate"</f>
        <v>Aggregate</v>
      </c>
    </row>
    <row r="5" spans="1:6" x14ac:dyDescent="0.25">
      <c r="A5">
        <v>1</v>
      </c>
      <c r="B5" t="str">
        <f>"Roe, Ivan, SGT, USA (140994)"</f>
        <v>Roe, Ivan, SGT, USA (140994)</v>
      </c>
      <c r="C5" t="str">
        <f>"Phenix City, AL"</f>
        <v>Phenix City, AL</v>
      </c>
      <c r="D5" t="str">
        <f>"631.2"</f>
        <v>631.2</v>
      </c>
      <c r="E5" t="str">
        <f>"629.2"</f>
        <v>629.2</v>
      </c>
      <c r="F5" t="str">
        <f>"1,260.4"</f>
        <v>1,260.4</v>
      </c>
    </row>
    <row r="6" spans="1:6" x14ac:dyDescent="0.25">
      <c r="A6">
        <v>2</v>
      </c>
      <c r="B6" t="str">
        <f>"Barnick, Gavin (277417)"</f>
        <v>Barnick, Gavin (277417)</v>
      </c>
      <c r="C6" t="str">
        <f>"Appleton, WI"</f>
        <v>Appleton, WI</v>
      </c>
      <c r="D6" t="str">
        <f>"628.7"</f>
        <v>628.7</v>
      </c>
      <c r="E6" t="str">
        <f>"630.3"</f>
        <v>630.3</v>
      </c>
      <c r="F6" t="str">
        <f>"1,259.0"</f>
        <v>1,259.0</v>
      </c>
    </row>
    <row r="7" spans="1:6" x14ac:dyDescent="0.25">
      <c r="A7">
        <v>3</v>
      </c>
      <c r="B7" t="str">
        <f>"Peiser, Braden (280766)"</f>
        <v>Peiser, Braden (280766)</v>
      </c>
      <c r="C7" t="str">
        <f>"San Angelo, TX"</f>
        <v>San Angelo, TX</v>
      </c>
      <c r="D7" t="str">
        <f>"626.0"</f>
        <v>626.0</v>
      </c>
      <c r="E7" t="str">
        <f>"629.9"</f>
        <v>629.9</v>
      </c>
      <c r="F7" t="str">
        <f>"1,255.9"</f>
        <v>1,255.9</v>
      </c>
    </row>
    <row r="8" spans="1:6" x14ac:dyDescent="0.25">
      <c r="A8">
        <v>4</v>
      </c>
      <c r="B8" t="str">
        <f>"Blanton III, John (284183)"</f>
        <v>Blanton III, John (284183)</v>
      </c>
      <c r="C8" t="str">
        <f>"Brookings, SD"</f>
        <v>Brookings, SD</v>
      </c>
      <c r="D8" t="str">
        <f>"627.4"</f>
        <v>627.4</v>
      </c>
      <c r="E8" t="str">
        <f>"628.4"</f>
        <v>628.4</v>
      </c>
      <c r="F8" t="str">
        <f>"1,255.8"</f>
        <v>1,255.8</v>
      </c>
    </row>
    <row r="9" spans="1:6" x14ac:dyDescent="0.25">
      <c r="A9">
        <v>5</v>
      </c>
      <c r="B9" t="str">
        <f>"Lake, Griffin (277543)"</f>
        <v>Lake, Griffin (277543)</v>
      </c>
      <c r="C9" t="str">
        <f>"Emmaus, PA"</f>
        <v>Emmaus, PA</v>
      </c>
      <c r="D9" t="str">
        <f>"627.3"</f>
        <v>627.3</v>
      </c>
      <c r="E9" t="str">
        <f>"628.4"</f>
        <v>628.4</v>
      </c>
      <c r="F9" t="str">
        <f>"1,255.7"</f>
        <v>1,255.7</v>
      </c>
    </row>
    <row r="10" spans="1:6" x14ac:dyDescent="0.25">
      <c r="A10">
        <v>6</v>
      </c>
      <c r="B10" t="str">
        <f>"Muske, Brandon, SSG, USA (66790)"</f>
        <v>Muske, Brandon, SSG, USA (66790)</v>
      </c>
      <c r="C10" t="str">
        <f>"Midland, GA"</f>
        <v>Midland, GA</v>
      </c>
      <c r="D10" t="str">
        <f>"626.7"</f>
        <v>626.7</v>
      </c>
      <c r="E10" t="str">
        <f>"627.2"</f>
        <v>627.2</v>
      </c>
      <c r="F10" t="str">
        <f>"1,253.9"</f>
        <v>1,253.9</v>
      </c>
    </row>
    <row r="11" spans="1:6" x14ac:dyDescent="0.25">
      <c r="A11">
        <v>7</v>
      </c>
      <c r="B11" t="str">
        <f>"Eddy, Jared, SP4, USA (224371)"</f>
        <v>Eddy, Jared, SP4, USA (224371)</v>
      </c>
      <c r="C11" t="str">
        <f>"Midland, GA"</f>
        <v>Midland, GA</v>
      </c>
      <c r="D11" t="str">
        <f>"629.3"</f>
        <v>629.3</v>
      </c>
      <c r="E11" t="str">
        <f>"624.2"</f>
        <v>624.2</v>
      </c>
      <c r="F11" t="str">
        <f>"1,253.5"</f>
        <v>1,253.5</v>
      </c>
    </row>
    <row r="12" spans="1:6" x14ac:dyDescent="0.25">
      <c r="A12">
        <v>8</v>
      </c>
      <c r="B12" t="str">
        <f>"Clark, Levi, SGT, USA (239546)"</f>
        <v>Clark, Levi, SGT, USA (239546)</v>
      </c>
      <c r="C12" t="str">
        <f>"Columbus, GA"</f>
        <v>Columbus, GA</v>
      </c>
      <c r="D12" t="str">
        <f>"623.6"</f>
        <v>623.6</v>
      </c>
      <c r="E12" t="str">
        <f>"628.7"</f>
        <v>628.7</v>
      </c>
      <c r="F12" t="str">
        <f>"1,252.3"</f>
        <v>1,252.3</v>
      </c>
    </row>
    <row r="13" spans="1:6" x14ac:dyDescent="0.25">
      <c r="A13">
        <v>9</v>
      </c>
      <c r="B13" t="str">
        <f>"Wisman, Jacob (280941)"</f>
        <v>Wisman, Jacob (280941)</v>
      </c>
      <c r="C13" t="str">
        <f>"Independence, WV"</f>
        <v>Independence, WV</v>
      </c>
      <c r="D13" t="str">
        <f>"624.8"</f>
        <v>624.8</v>
      </c>
      <c r="E13" t="str">
        <f>"624.6"</f>
        <v>624.6</v>
      </c>
      <c r="F13" t="str">
        <f>"1,249.4"</f>
        <v>1,249.4</v>
      </c>
    </row>
    <row r="14" spans="1:6" x14ac:dyDescent="0.25">
      <c r="A14">
        <v>10</v>
      </c>
      <c r="B14" t="str">
        <f>"Sherry, Timothy, SSG, USA (72550)"</f>
        <v>Sherry, Timothy, SSG, USA (72550)</v>
      </c>
      <c r="C14" t="str">
        <f>"Columbus, GA"</f>
        <v>Columbus, GA</v>
      </c>
      <c r="D14" t="str">
        <f>"622.3"</f>
        <v>622.3</v>
      </c>
      <c r="E14" t="str">
        <f>"626.5"</f>
        <v>626.5</v>
      </c>
      <c r="F14" t="str">
        <f>"1,248.8"</f>
        <v>1,248.8</v>
      </c>
    </row>
    <row r="15" spans="1:6" x14ac:dyDescent="0.25">
      <c r="A15">
        <v>11</v>
      </c>
      <c r="B15" t="str">
        <f>"Wee, Tyler (339686)"</f>
        <v>Wee, Tyler (339686)</v>
      </c>
      <c r="C15" t="str">
        <f>"Wake Forest, NC"</f>
        <v>Wake Forest, NC</v>
      </c>
      <c r="D15" t="str">
        <f>"624.1"</f>
        <v>624.1</v>
      </c>
      <c r="E15" t="str">
        <f>"623.2"</f>
        <v>623.2</v>
      </c>
      <c r="F15" t="str">
        <f>"1,247.3"</f>
        <v>1,247.3</v>
      </c>
    </row>
    <row r="16" spans="1:6" x14ac:dyDescent="0.25">
      <c r="A16">
        <v>12</v>
      </c>
      <c r="B16" t="str">
        <f>"Patterson, Scott (278520)"</f>
        <v>Patterson, Scott (278520)</v>
      </c>
      <c r="C16" t="str">
        <f>"Fairfax Station, VA"</f>
        <v>Fairfax Station, VA</v>
      </c>
      <c r="D16" t="str">
        <f>"621.6"</f>
        <v>621.6</v>
      </c>
      <c r="E16" t="str">
        <f>"625.2"</f>
        <v>625.2</v>
      </c>
      <c r="F16" t="str">
        <f>"1,246.8"</f>
        <v>1,246.8</v>
      </c>
    </row>
    <row r="17" spans="1:6" x14ac:dyDescent="0.25">
      <c r="A17">
        <v>13</v>
      </c>
      <c r="B17" t="str">
        <f>"Adkins, Samuel (376725)"</f>
        <v>Adkins, Samuel (376725)</v>
      </c>
      <c r="C17" t="str">
        <f>"Hummelstown, PA"</f>
        <v>Hummelstown, PA</v>
      </c>
      <c r="D17" t="str">
        <f>"623.4"</f>
        <v>623.4</v>
      </c>
      <c r="E17" t="str">
        <f>"623.3"</f>
        <v>623.3</v>
      </c>
      <c r="F17" t="str">
        <f>"1,246.7"</f>
        <v>1,246.7</v>
      </c>
    </row>
    <row r="18" spans="1:6" x14ac:dyDescent="0.25">
      <c r="A18">
        <v>14</v>
      </c>
      <c r="B18" t="str">
        <f>"Shanebrook, Daniel (180675)"</f>
        <v>Shanebrook, Daniel (180675)</v>
      </c>
      <c r="C18" t="str">
        <f>"Fort Wayne, IN"</f>
        <v>Fort Wayne, IN</v>
      </c>
      <c r="D18" t="str">
        <f>"622.4"</f>
        <v>622.4</v>
      </c>
      <c r="E18" t="str">
        <f>"621.5"</f>
        <v>621.5</v>
      </c>
      <c r="F18" t="str">
        <f>"1,243.9"</f>
        <v>1,243.9</v>
      </c>
    </row>
    <row r="19" spans="1:6" x14ac:dyDescent="0.25">
      <c r="A19">
        <v>15</v>
      </c>
      <c r="B19" t="str">
        <f>"Ogoreuc, Jack (345230)"</f>
        <v>Ogoreuc, Jack (345230)</v>
      </c>
      <c r="C19" t="str">
        <f>"Grove City, PA"</f>
        <v>Grove City, PA</v>
      </c>
      <c r="D19" t="str">
        <f>"621.6"</f>
        <v>621.6</v>
      </c>
      <c r="E19" t="str">
        <f>"621.2"</f>
        <v>621.2</v>
      </c>
      <c r="F19" t="str">
        <f>"1,242.8"</f>
        <v>1,242.8</v>
      </c>
    </row>
    <row r="20" spans="1:6" x14ac:dyDescent="0.25">
      <c r="A20">
        <v>16</v>
      </c>
      <c r="B20" t="str">
        <f>"Cover, Chance (50286)"</f>
        <v>Cover, Chance (50286)</v>
      </c>
      <c r="C20" t="str">
        <f>"Columbia, MO"</f>
        <v>Columbia, MO</v>
      </c>
      <c r="D20" t="str">
        <f>"616.5"</f>
        <v>616.5</v>
      </c>
      <c r="E20" t="str">
        <f>"621.9"</f>
        <v>621.9</v>
      </c>
      <c r="F20" t="str">
        <f>"1,238.4"</f>
        <v>1,238.4</v>
      </c>
    </row>
    <row r="21" spans="1:6" x14ac:dyDescent="0.25">
      <c r="A21">
        <v>17</v>
      </c>
      <c r="B21" t="str">
        <f>"Evans, Brandon (356924)"</f>
        <v>Evans, Brandon (356924)</v>
      </c>
      <c r="C21" t="str">
        <f>"Poquoson, VA"</f>
        <v>Poquoson, VA</v>
      </c>
      <c r="D21" t="str">
        <f>"617.8"</f>
        <v>617.8</v>
      </c>
      <c r="E21" t="str">
        <f>"618.4"</f>
        <v>618.4</v>
      </c>
      <c r="F21" t="str">
        <f>"1,236.2"</f>
        <v>1,236.2</v>
      </c>
    </row>
    <row r="22" spans="1:6" x14ac:dyDescent="0.25">
      <c r="A22">
        <v>18</v>
      </c>
      <c r="B22" t="str">
        <f>"Hotko, Anthony (332337)"</f>
        <v>Hotko, Anthony (332337)</v>
      </c>
      <c r="C22" t="str">
        <f>"Batavia, IL"</f>
        <v>Batavia, IL</v>
      </c>
      <c r="D22" t="str">
        <f>"616.0"</f>
        <v>616.0</v>
      </c>
      <c r="E22" t="str">
        <f>"619.9"</f>
        <v>619.9</v>
      </c>
      <c r="F22" t="str">
        <f>"1,235.9"</f>
        <v>1,235.9</v>
      </c>
    </row>
    <row r="23" spans="1:6" x14ac:dyDescent="0.25">
      <c r="A23">
        <v>19</v>
      </c>
      <c r="B23" t="str">
        <f>"Duncan, Maximus (366955)"</f>
        <v>Duncan, Maximus (366955)</v>
      </c>
      <c r="C23" t="str">
        <f>"Colorado Springs, CO"</f>
        <v>Colorado Springs, CO</v>
      </c>
      <c r="D23" t="str">
        <f>"618.0"</f>
        <v>618.0</v>
      </c>
      <c r="E23" t="str">
        <f>"617.0"</f>
        <v>617.0</v>
      </c>
      <c r="F23" t="str">
        <f>"1,235.0"</f>
        <v>1,235.0</v>
      </c>
    </row>
    <row r="24" spans="1:6" x14ac:dyDescent="0.25">
      <c r="A24">
        <v>20</v>
      </c>
      <c r="B24" t="str">
        <f>"Michalak, Braden (262179)"</f>
        <v>Michalak, Braden (262179)</v>
      </c>
      <c r="C24" t="str">
        <f>"Canton, MI"</f>
        <v>Canton, MI</v>
      </c>
      <c r="D24" t="str">
        <f>"617.6"</f>
        <v>617.6</v>
      </c>
      <c r="E24" t="str">
        <f>"616.4"</f>
        <v>616.4</v>
      </c>
      <c r="F24" t="str">
        <f>"1,234.0"</f>
        <v>1,234.0</v>
      </c>
    </row>
    <row r="25" spans="1:6" x14ac:dyDescent="0.25">
      <c r="A25">
        <v>21</v>
      </c>
      <c r="B25" t="str">
        <f>"Lopez, Eyvin (400420)"</f>
        <v>Lopez, Eyvin (400420)</v>
      </c>
      <c r="C25" t="str">
        <f>"Mayaguez, PR"</f>
        <v>Mayaguez, PR</v>
      </c>
      <c r="D25" t="str">
        <f>"617.3"</f>
        <v>617.3</v>
      </c>
      <c r="E25" t="str">
        <f>"616.0"</f>
        <v>616.0</v>
      </c>
      <c r="F25" t="str">
        <f>"1,233.3"</f>
        <v>1,233.3</v>
      </c>
    </row>
    <row r="26" spans="1:6" x14ac:dyDescent="0.25">
      <c r="A26">
        <v>22</v>
      </c>
      <c r="B26" t="str">
        <f>"Nickless, Samuel (403411)"</f>
        <v>Nickless, Samuel (403411)</v>
      </c>
      <c r="C26" t="str">
        <f>"Fairfax, VA"</f>
        <v>Fairfax, VA</v>
      </c>
      <c r="D26" t="str">
        <f>"614.1"</f>
        <v>614.1</v>
      </c>
      <c r="E26" t="str">
        <f>"615.8"</f>
        <v>615.8</v>
      </c>
      <c r="F26" t="str">
        <f>"1,229.9"</f>
        <v>1,229.9</v>
      </c>
    </row>
    <row r="27" spans="1:6" x14ac:dyDescent="0.25">
      <c r="A27">
        <v>23</v>
      </c>
      <c r="B27" t="str">
        <f>"Hamilton, John (293255)"</f>
        <v>Hamilton, John (293255)</v>
      </c>
      <c r="C27" t="str">
        <f>"Corydon, IN"</f>
        <v>Corydon, IN</v>
      </c>
      <c r="D27" t="str">
        <f>"613.7"</f>
        <v>613.7</v>
      </c>
      <c r="E27" t="str">
        <f>"615.1"</f>
        <v>615.1</v>
      </c>
      <c r="F27" t="str">
        <f>"1,228.8"</f>
        <v>1,228.8</v>
      </c>
    </row>
    <row r="28" spans="1:6" x14ac:dyDescent="0.25">
      <c r="A28">
        <v>24</v>
      </c>
      <c r="B28" t="str">
        <f>"Enriquez Flores, Gustavo (400411)"</f>
        <v>Enriquez Flores, Gustavo (400411)</v>
      </c>
      <c r="C28" t="str">
        <f>"Mayaguez, PR"</f>
        <v>Mayaguez, PR</v>
      </c>
      <c r="D28" t="str">
        <f>"612.2"</f>
        <v>612.2</v>
      </c>
      <c r="E28" t="str">
        <f>"614.5"</f>
        <v>614.5</v>
      </c>
      <c r="F28" t="str">
        <f>"1,226.7"</f>
        <v>1,226.7</v>
      </c>
    </row>
    <row r="29" spans="1:6" x14ac:dyDescent="0.25">
      <c r="A29">
        <v>25</v>
      </c>
      <c r="B29" t="str">
        <f>"Hahn, Joseph (75084)"</f>
        <v>Hahn, Joseph (75084)</v>
      </c>
      <c r="C29" t="str">
        <f>"Middle Grove, NY"</f>
        <v>Middle Grove, NY</v>
      </c>
      <c r="D29" t="str">
        <f>"610.6"</f>
        <v>610.6</v>
      </c>
      <c r="E29" t="str">
        <f>"612.6"</f>
        <v>612.6</v>
      </c>
      <c r="F29" t="str">
        <f>"1,223.2"</f>
        <v>1,223.2</v>
      </c>
    </row>
    <row r="30" spans="1:6" x14ac:dyDescent="0.25">
      <c r="A30">
        <v>26</v>
      </c>
      <c r="B30" t="str">
        <f>"Abzug, Noah (399850)"</f>
        <v>Abzug, Noah (399850)</v>
      </c>
      <c r="C30" t="str">
        <f>"Monkton, MD"</f>
        <v>Monkton, MD</v>
      </c>
      <c r="D30" t="str">
        <f>"608.8"</f>
        <v>608.8</v>
      </c>
      <c r="E30" t="str">
        <f>"613.2"</f>
        <v>613.2</v>
      </c>
      <c r="F30" t="str">
        <f>"1,222.0"</f>
        <v>1,222.0</v>
      </c>
    </row>
    <row r="31" spans="1:6" x14ac:dyDescent="0.25">
      <c r="A31">
        <v>27</v>
      </c>
      <c r="B31" t="str">
        <f>"Meyer III, Charles (440640)"</f>
        <v>Meyer III, Charles (440640)</v>
      </c>
      <c r="C31" t="str">
        <f>"Long Valley, NJ"</f>
        <v>Long Valley, NJ</v>
      </c>
      <c r="D31" t="str">
        <f>"612.4"</f>
        <v>612.4</v>
      </c>
      <c r="E31" t="str">
        <f>"607.3"</f>
        <v>607.3</v>
      </c>
      <c r="F31" t="str">
        <f>"1,219.7"</f>
        <v>1,219.7</v>
      </c>
    </row>
    <row r="32" spans="1:6" x14ac:dyDescent="0.25">
      <c r="A32">
        <v>28</v>
      </c>
      <c r="B32" t="str">
        <f>"Lyons, Ian (400645)"</f>
        <v>Lyons, Ian (400645)</v>
      </c>
      <c r="C32" t="str">
        <f>"Strasburg, PA"</f>
        <v>Strasburg, PA</v>
      </c>
      <c r="D32" t="str">
        <f>"606.1"</f>
        <v>606.1</v>
      </c>
      <c r="E32" t="str">
        <f>"613.4"</f>
        <v>613.4</v>
      </c>
      <c r="F32" t="str">
        <f>"1,219.5"</f>
        <v>1,219.5</v>
      </c>
    </row>
    <row r="33" spans="1:6" x14ac:dyDescent="0.25">
      <c r="A33">
        <v>29</v>
      </c>
      <c r="B33" t="str">
        <f>"McClimans, Logan (305879)"</f>
        <v>McClimans, Logan (305879)</v>
      </c>
      <c r="C33" t="str">
        <f>"Jamestown, PA"</f>
        <v>Jamestown, PA</v>
      </c>
      <c r="D33" t="str">
        <f>"610.5"</f>
        <v>610.5</v>
      </c>
      <c r="E33" t="str">
        <f>"608.5"</f>
        <v>608.5</v>
      </c>
      <c r="F33" t="str">
        <f>"1,219.0"</f>
        <v>1,219.0</v>
      </c>
    </row>
    <row r="34" spans="1:6" x14ac:dyDescent="0.25">
      <c r="A34">
        <v>30</v>
      </c>
      <c r="B34" t="str">
        <f>"Schmidt, Marshall (459943)"</f>
        <v>Schmidt, Marshall (459943)</v>
      </c>
      <c r="C34" t="str">
        <f>"BALLSTON SPA, NY"</f>
        <v>BALLSTON SPA, NY</v>
      </c>
      <c r="D34" t="str">
        <f>"614.2"</f>
        <v>614.2</v>
      </c>
      <c r="E34" t="str">
        <f>"604.6"</f>
        <v>604.6</v>
      </c>
      <c r="F34" t="str">
        <f>"1,218.8"</f>
        <v>1,218.8</v>
      </c>
    </row>
    <row r="35" spans="1:6" x14ac:dyDescent="0.25">
      <c r="A35">
        <v>31</v>
      </c>
      <c r="B35" t="str">
        <f>"Hersh III, Terry, Mr., III (319576)"</f>
        <v>Hersh III, Terry, Mr., III (319576)</v>
      </c>
      <c r="C35" t="str">
        <f>"Easton, PA"</f>
        <v>Easton, PA</v>
      </c>
      <c r="D35" t="str">
        <f>"609.8"</f>
        <v>609.8</v>
      </c>
      <c r="E35" t="str">
        <f>"609.0"</f>
        <v>609.0</v>
      </c>
      <c r="F35" t="str">
        <f>"1,218.8"</f>
        <v>1,218.8</v>
      </c>
    </row>
    <row r="36" spans="1:6" x14ac:dyDescent="0.25">
      <c r="A36">
        <v>32</v>
      </c>
      <c r="B36" t="str">
        <f>"Sparrow, Samuel (227999)"</f>
        <v>Sparrow, Samuel (227999)</v>
      </c>
      <c r="C36" t="str">
        <f>"Hendersonville, TN"</f>
        <v>Hendersonville, TN</v>
      </c>
      <c r="D36" t="str">
        <f>"606.8"</f>
        <v>606.8</v>
      </c>
      <c r="E36" t="str">
        <f>"607.0"</f>
        <v>607.0</v>
      </c>
      <c r="F36" t="str">
        <f>"1,213.8"</f>
        <v>1,213.8</v>
      </c>
    </row>
    <row r="37" spans="1:6" x14ac:dyDescent="0.25">
      <c r="A37">
        <v>33</v>
      </c>
      <c r="B37" t="str">
        <f>"Smith, Everett (325340)"</f>
        <v>Smith, Everett (325340)</v>
      </c>
      <c r="C37" t="str">
        <f>"Keyser , WV"</f>
        <v>Keyser , WV</v>
      </c>
      <c r="D37" t="str">
        <f>"608.5"</f>
        <v>608.5</v>
      </c>
      <c r="E37" t="str">
        <f>"604.3"</f>
        <v>604.3</v>
      </c>
      <c r="F37" t="str">
        <f>"1,212.8"</f>
        <v>1,212.8</v>
      </c>
    </row>
    <row r="38" spans="1:6" x14ac:dyDescent="0.25">
      <c r="A38">
        <v>34</v>
      </c>
      <c r="B38" t="str">
        <f>"Stauch, Owen (414337)"</f>
        <v>Stauch, Owen (414337)</v>
      </c>
      <c r="C38" t="str">
        <f>"Waterford , OH"</f>
        <v>Waterford , OH</v>
      </c>
      <c r="D38" t="str">
        <f>"603.0"</f>
        <v>603.0</v>
      </c>
      <c r="E38" t="str">
        <f>"607.3"</f>
        <v>607.3</v>
      </c>
      <c r="F38" t="str">
        <f>"1,210.3"</f>
        <v>1,210.3</v>
      </c>
    </row>
    <row r="39" spans="1:6" x14ac:dyDescent="0.25">
      <c r="A39">
        <v>35</v>
      </c>
      <c r="B39" t="str">
        <f>"Tantanaseekun, Jaeda (434684)"</f>
        <v>Tantanaseekun, Jaeda (434684)</v>
      </c>
      <c r="C39" t="str">
        <f>"Highland, MD"</f>
        <v>Highland, MD</v>
      </c>
      <c r="D39" t="str">
        <f>"607.4"</f>
        <v>607.4</v>
      </c>
      <c r="E39" t="str">
        <f>"602.8"</f>
        <v>602.8</v>
      </c>
      <c r="F39" t="str">
        <f>"1,210.2"</f>
        <v>1,210.2</v>
      </c>
    </row>
    <row r="40" spans="1:6" x14ac:dyDescent="0.25">
      <c r="A40">
        <v>36</v>
      </c>
      <c r="B40" t="str">
        <f>"Kauffman, Nathaniel (399779)"</f>
        <v>Kauffman, Nathaniel (399779)</v>
      </c>
      <c r="C40" t="str">
        <f>"York, PA"</f>
        <v>York, PA</v>
      </c>
      <c r="D40" t="str">
        <f>"601.0"</f>
        <v>601.0</v>
      </c>
      <c r="E40" t="str">
        <f>"608.3"</f>
        <v>608.3</v>
      </c>
      <c r="F40" t="str">
        <f>"1,209.3"</f>
        <v>1,209.3</v>
      </c>
    </row>
    <row r="41" spans="1:6" x14ac:dyDescent="0.25">
      <c r="A41">
        <v>37</v>
      </c>
      <c r="B41" t="str">
        <f>"Labine, Kai (395852)"</f>
        <v>Labine, Kai (395852)</v>
      </c>
      <c r="C41" t="str">
        <f>"Williamsburg, VA"</f>
        <v>Williamsburg, VA</v>
      </c>
      <c r="D41" t="str">
        <f>"606.9"</f>
        <v>606.9</v>
      </c>
      <c r="E41" t="str">
        <f>"601.3"</f>
        <v>601.3</v>
      </c>
      <c r="F41" t="str">
        <f>"1,208.2"</f>
        <v>1,208.2</v>
      </c>
    </row>
    <row r="42" spans="1:6" x14ac:dyDescent="0.25">
      <c r="A42">
        <v>38</v>
      </c>
      <c r="B42" t="str">
        <f>"Hooper, Mason (228221)"</f>
        <v>Hooper, Mason (228221)</v>
      </c>
      <c r="C42" t="str">
        <f>"Tionesta, PA"</f>
        <v>Tionesta, PA</v>
      </c>
      <c r="D42" t="str">
        <f>"601.7"</f>
        <v>601.7</v>
      </c>
      <c r="E42" t="str">
        <f>"604.6"</f>
        <v>604.6</v>
      </c>
      <c r="F42" t="str">
        <f>"1,206.3"</f>
        <v>1,206.3</v>
      </c>
    </row>
    <row r="43" spans="1:6" x14ac:dyDescent="0.25">
      <c r="A43">
        <v>39</v>
      </c>
      <c r="B43" t="str">
        <f>"Mauriello, Zachary (361139)"</f>
        <v>Mauriello, Zachary (361139)</v>
      </c>
      <c r="C43" t="str">
        <f>"Woodstock, GA"</f>
        <v>Woodstock, GA</v>
      </c>
      <c r="D43" t="str">
        <f>"600.3"</f>
        <v>600.3</v>
      </c>
      <c r="E43" t="str">
        <f>"603.5"</f>
        <v>603.5</v>
      </c>
      <c r="F43" t="str">
        <f>"1,203.8"</f>
        <v>1,203.8</v>
      </c>
    </row>
    <row r="44" spans="1:6" x14ac:dyDescent="0.25">
      <c r="A44">
        <v>40</v>
      </c>
      <c r="B44" t="str">
        <f>"Malave, Ben (399775)"</f>
        <v>Malave, Ben (399775)</v>
      </c>
      <c r="C44" t="str">
        <f>"York, PA"</f>
        <v>York, PA</v>
      </c>
      <c r="D44" t="str">
        <f>"599.5"</f>
        <v>599.5</v>
      </c>
      <c r="E44" t="str">
        <f>"603.1"</f>
        <v>603.1</v>
      </c>
      <c r="F44" t="str">
        <f>"1,202.6"</f>
        <v>1,202.6</v>
      </c>
    </row>
    <row r="45" spans="1:6" x14ac:dyDescent="0.25">
      <c r="A45">
        <v>41</v>
      </c>
      <c r="B45" t="str">
        <f>"Bergman, Deitrich (279872)"</f>
        <v>Bergman, Deitrich (279872)</v>
      </c>
      <c r="C45" t="str">
        <f>"Oak Harbor, OH"</f>
        <v>Oak Harbor, OH</v>
      </c>
      <c r="D45" t="str">
        <f>"601.8"</f>
        <v>601.8</v>
      </c>
      <c r="E45" t="str">
        <f>"600.6"</f>
        <v>600.6</v>
      </c>
      <c r="F45" t="str">
        <f>"1,202.4"</f>
        <v>1,202.4</v>
      </c>
    </row>
    <row r="46" spans="1:6" x14ac:dyDescent="0.25">
      <c r="A46">
        <v>42</v>
      </c>
      <c r="B46" t="str">
        <f>"Baliva, Dominic (404703)"</f>
        <v>Baliva, Dominic (404703)</v>
      </c>
      <c r="C46" t="str">
        <f>"Rochester , NY"</f>
        <v>Rochester , NY</v>
      </c>
      <c r="D46" t="str">
        <f>"598.3"</f>
        <v>598.3</v>
      </c>
      <c r="E46" t="str">
        <f>"598.3"</f>
        <v>598.3</v>
      </c>
      <c r="F46" t="str">
        <f>"1,196.6"</f>
        <v>1,196.6</v>
      </c>
    </row>
    <row r="47" spans="1:6" x14ac:dyDescent="0.25">
      <c r="A47">
        <v>43</v>
      </c>
      <c r="B47" t="str">
        <f>"Borthwick, Paul (162283)"</f>
        <v>Borthwick, Paul (162283)</v>
      </c>
      <c r="C47" t="str">
        <f>"Glenelg, MD"</f>
        <v>Glenelg, MD</v>
      </c>
      <c r="D47" t="str">
        <f>"596.0"</f>
        <v>596.0</v>
      </c>
      <c r="E47" t="str">
        <f>"597.5"</f>
        <v>597.5</v>
      </c>
      <c r="F47" t="str">
        <f>"1,193.5"</f>
        <v>1,193.5</v>
      </c>
    </row>
    <row r="48" spans="1:6" x14ac:dyDescent="0.25">
      <c r="A48">
        <v>44</v>
      </c>
      <c r="B48" t="str">
        <f>"Jenkins, Hunter (434902)"</f>
        <v>Jenkins, Hunter (434902)</v>
      </c>
      <c r="C48" t="str">
        <f>"Washington, PA"</f>
        <v>Washington, PA</v>
      </c>
      <c r="D48" t="str">
        <f>"600.1"</f>
        <v>600.1</v>
      </c>
      <c r="E48" t="str">
        <f>"592.7"</f>
        <v>592.7</v>
      </c>
      <c r="F48" t="str">
        <f>"1,192.8"</f>
        <v>1,192.8</v>
      </c>
    </row>
    <row r="49" spans="1:6" x14ac:dyDescent="0.25">
      <c r="A49">
        <v>45</v>
      </c>
      <c r="B49" t="str">
        <f>"Brenner, Zachary (Zack) (380723)"</f>
        <v>Brenner, Zachary (Zack) (380723)</v>
      </c>
      <c r="C49" t="str">
        <f>"Macungie , PA"</f>
        <v>Macungie , PA</v>
      </c>
      <c r="D49" t="str">
        <f>"597.0"</f>
        <v>597.0</v>
      </c>
      <c r="E49" t="str">
        <f>"595.3"</f>
        <v>595.3</v>
      </c>
      <c r="F49" t="str">
        <f>"1,192.3"</f>
        <v>1,192.3</v>
      </c>
    </row>
    <row r="50" spans="1:6" x14ac:dyDescent="0.25">
      <c r="A50">
        <v>46</v>
      </c>
      <c r="B50" t="str">
        <f>"Druley, Nikodemus (397227)"</f>
        <v>Druley, Nikodemus (397227)</v>
      </c>
      <c r="C50" t="str">
        <f>"Fort Wayne, IN"</f>
        <v>Fort Wayne, IN</v>
      </c>
      <c r="D50" t="str">
        <f>"597.9"</f>
        <v>597.9</v>
      </c>
      <c r="E50" t="str">
        <f>"592.4"</f>
        <v>592.4</v>
      </c>
      <c r="F50" t="str">
        <f>"1,190.3"</f>
        <v>1,190.3</v>
      </c>
    </row>
    <row r="51" spans="1:6" x14ac:dyDescent="0.25">
      <c r="A51">
        <v>47</v>
      </c>
      <c r="B51" t="str">
        <f>"Fahey, Neilan (345087)"</f>
        <v>Fahey, Neilan (345087)</v>
      </c>
      <c r="C51" t="str">
        <f>"Medway, MA"</f>
        <v>Medway, MA</v>
      </c>
      <c r="D51" t="str">
        <f>"598.3"</f>
        <v>598.3</v>
      </c>
      <c r="E51" t="str">
        <f>"588.1"</f>
        <v>588.1</v>
      </c>
      <c r="F51" t="str">
        <f>"1,186.4"</f>
        <v>1,186.4</v>
      </c>
    </row>
    <row r="52" spans="1:6" x14ac:dyDescent="0.25">
      <c r="A52">
        <v>48</v>
      </c>
      <c r="B52" t="str">
        <f>"Williams, Evan (346587)"</f>
        <v>Williams, Evan (346587)</v>
      </c>
      <c r="C52" t="str">
        <f>"Newport News, VA"</f>
        <v>Newport News, VA</v>
      </c>
      <c r="D52" t="str">
        <f>"587.8"</f>
        <v>587.8</v>
      </c>
      <c r="E52" t="str">
        <f>"598.4"</f>
        <v>598.4</v>
      </c>
      <c r="F52" t="str">
        <f>"1,186.2"</f>
        <v>1,186.2</v>
      </c>
    </row>
    <row r="53" spans="1:6" x14ac:dyDescent="0.25">
      <c r="A53">
        <v>49</v>
      </c>
      <c r="B53" t="str">
        <f>"Shipley, James (320956)"</f>
        <v>Shipley, James (320956)</v>
      </c>
      <c r="C53" t="str">
        <f>"Williamstown, WV"</f>
        <v>Williamstown, WV</v>
      </c>
      <c r="D53" t="str">
        <f>"591.9"</f>
        <v>591.9</v>
      </c>
      <c r="E53" t="str">
        <f>"591.5"</f>
        <v>591.5</v>
      </c>
      <c r="F53" t="str">
        <f>"1,183.4"</f>
        <v>1,183.4</v>
      </c>
    </row>
    <row r="54" spans="1:6" x14ac:dyDescent="0.25">
      <c r="A54">
        <v>50</v>
      </c>
      <c r="B54" t="str">
        <f>"Luk, Ethan (431823)"</f>
        <v>Luk, Ethan (431823)</v>
      </c>
      <c r="C54" t="str">
        <f>"Maple, ON"</f>
        <v>Maple, ON</v>
      </c>
      <c r="D54" t="str">
        <f>"590.7"</f>
        <v>590.7</v>
      </c>
      <c r="E54" t="str">
        <f>"590.1"</f>
        <v>590.1</v>
      </c>
      <c r="F54" t="str">
        <f>"1,180.8"</f>
        <v>1,180.8</v>
      </c>
    </row>
    <row r="55" spans="1:6" x14ac:dyDescent="0.25">
      <c r="A55">
        <v>51</v>
      </c>
      <c r="B55" t="str">
        <f>"Hupf, August (478183)"</f>
        <v>Hupf, August (478183)</v>
      </c>
      <c r="C55" t="str">
        <f>"Mendota Heights, MN"</f>
        <v>Mendota Heights, MN</v>
      </c>
      <c r="D55" t="str">
        <f>"591.4"</f>
        <v>591.4</v>
      </c>
      <c r="E55" t="str">
        <f>"588.6"</f>
        <v>588.6</v>
      </c>
      <c r="F55" t="str">
        <f>"1,180.0"</f>
        <v>1,180.0</v>
      </c>
    </row>
    <row r="56" spans="1:6" x14ac:dyDescent="0.25">
      <c r="A56">
        <v>52</v>
      </c>
      <c r="B56" t="str">
        <f>"Ram, Ashwath (437333)"</f>
        <v>Ram, Ashwath (437333)</v>
      </c>
      <c r="C56" t="str">
        <f>"Monroe, NJ"</f>
        <v>Monroe, NJ</v>
      </c>
      <c r="D56" t="str">
        <f>"597.2"</f>
        <v>597.2</v>
      </c>
      <c r="E56" t="str">
        <f>"582.5"</f>
        <v>582.5</v>
      </c>
      <c r="F56" t="str">
        <f>"1,179.7"</f>
        <v>1,179.7</v>
      </c>
    </row>
    <row r="57" spans="1:6" x14ac:dyDescent="0.25">
      <c r="A57">
        <v>53</v>
      </c>
      <c r="B57" t="str">
        <f>"Miller, Landon (410634)"</f>
        <v>Miller, Landon (410634)</v>
      </c>
      <c r="C57" t="str">
        <f>"Fremont, OH"</f>
        <v>Fremont, OH</v>
      </c>
      <c r="D57" t="str">
        <f>"591.4"</f>
        <v>591.4</v>
      </c>
      <c r="E57" t="str">
        <f>"582.9"</f>
        <v>582.9</v>
      </c>
      <c r="F57" t="str">
        <f>"1,174.3"</f>
        <v>1,174.3</v>
      </c>
    </row>
    <row r="58" spans="1:6" x14ac:dyDescent="0.25">
      <c r="A58">
        <v>54</v>
      </c>
      <c r="B58" t="str">
        <f>"Wall, Jackson (356331)"</f>
        <v>Wall, Jackson (356331)</v>
      </c>
      <c r="C58" t="str">
        <f>"Nazareth, PA"</f>
        <v>Nazareth, PA</v>
      </c>
      <c r="D58" t="str">
        <f>"579.4"</f>
        <v>579.4</v>
      </c>
      <c r="E58" t="str">
        <f>"592.0"</f>
        <v>592.0</v>
      </c>
      <c r="F58" t="str">
        <f>"1,171.4"</f>
        <v>1,171.4</v>
      </c>
    </row>
    <row r="59" spans="1:6" x14ac:dyDescent="0.25">
      <c r="A59">
        <v>55</v>
      </c>
      <c r="B59" t="str">
        <f>"Abzug, Zachary (476672)"</f>
        <v>Abzug, Zachary (476672)</v>
      </c>
      <c r="C59" t="str">
        <f>"Mockton, MD"</f>
        <v>Mockton, MD</v>
      </c>
      <c r="D59" t="str">
        <f>"587.4"</f>
        <v>587.4</v>
      </c>
      <c r="E59" t="str">
        <f>"581.4"</f>
        <v>581.4</v>
      </c>
      <c r="F59" t="str">
        <f>"1,168.8"</f>
        <v>1,168.8</v>
      </c>
    </row>
    <row r="60" spans="1:6" x14ac:dyDescent="0.25">
      <c r="A60">
        <v>56</v>
      </c>
      <c r="B60" t="str">
        <f>"Harvey, Mason  (452710)"</f>
        <v>Harvey, Mason  (452710)</v>
      </c>
      <c r="C60" t="str">
        <f>"Dayton, MD"</f>
        <v>Dayton, MD</v>
      </c>
      <c r="D60" t="str">
        <f>"575.2"</f>
        <v>575.2</v>
      </c>
      <c r="E60" t="str">
        <f>"586.4"</f>
        <v>586.4</v>
      </c>
      <c r="F60" t="str">
        <f>"1,161.6"</f>
        <v>1,161.6</v>
      </c>
    </row>
    <row r="61" spans="1:6" x14ac:dyDescent="0.25">
      <c r="A61">
        <v>57</v>
      </c>
      <c r="B61" t="str">
        <f>"Lemmon, Xander (391077)"</f>
        <v>Lemmon, Xander (391077)</v>
      </c>
      <c r="C61" t="str">
        <f>"Clyde, OH"</f>
        <v>Clyde, OH</v>
      </c>
      <c r="D61" t="str">
        <f>"577.5"</f>
        <v>577.5</v>
      </c>
      <c r="E61" t="str">
        <f>"575.4"</f>
        <v>575.4</v>
      </c>
      <c r="F61" t="str">
        <f>"1,152.9"</f>
        <v>1,152.9</v>
      </c>
    </row>
    <row r="62" spans="1:6" x14ac:dyDescent="0.25">
      <c r="A62">
        <v>58</v>
      </c>
      <c r="B62" t="str">
        <f>"Russell, Jonathan (406708)"</f>
        <v>Russell, Jonathan (406708)</v>
      </c>
      <c r="C62" t="str">
        <f>"Emlenton, PA"</f>
        <v>Emlenton, PA</v>
      </c>
      <c r="D62" t="str">
        <f>"576.8"</f>
        <v>576.8</v>
      </c>
      <c r="E62" t="str">
        <f>"574.3"</f>
        <v>574.3</v>
      </c>
      <c r="F62" t="str">
        <f>"1,151.1"</f>
        <v>1,151.1</v>
      </c>
    </row>
    <row r="63" spans="1:6" x14ac:dyDescent="0.25">
      <c r="A63">
        <v>59</v>
      </c>
      <c r="B63" t="str">
        <f>"Schweitzer , Aiden  (419350)"</f>
        <v>Schweitzer , Aiden  (419350)</v>
      </c>
      <c r="C63" t="str">
        <f>"Fort Wayne, IN"</f>
        <v>Fort Wayne, IN</v>
      </c>
      <c r="D63" t="str">
        <f>"565.4"</f>
        <v>565.4</v>
      </c>
      <c r="E63" t="str">
        <f>"578.4"</f>
        <v>578.4</v>
      </c>
      <c r="F63" t="str">
        <f>"1,143.8"</f>
        <v>1,143.8</v>
      </c>
    </row>
    <row r="64" spans="1:6" x14ac:dyDescent="0.25">
      <c r="A64">
        <v>60</v>
      </c>
      <c r="B64" t="str">
        <f>"Parziale, Brian (205160)"</f>
        <v>Parziale, Brian (205160)</v>
      </c>
      <c r="C64" t="str">
        <f>"Schaumburg, IL"</f>
        <v>Schaumburg, IL</v>
      </c>
      <c r="D64" t="str">
        <f>"564.1"</f>
        <v>564.1</v>
      </c>
      <c r="E64" t="str">
        <f>"578.7"</f>
        <v>578.7</v>
      </c>
      <c r="F64" t="str">
        <f>"1,142.8"</f>
        <v>1,142.8</v>
      </c>
    </row>
    <row r="65" spans="1:6" x14ac:dyDescent="0.25">
      <c r="A65">
        <v>61</v>
      </c>
      <c r="B65" t="str">
        <f>"Boenau, Tyler (468249)"</f>
        <v>Boenau, Tyler (468249)</v>
      </c>
      <c r="C65" t="str">
        <f>"Latham, NY"</f>
        <v>Latham, NY</v>
      </c>
      <c r="D65" t="str">
        <f>"553.4"</f>
        <v>553.4</v>
      </c>
      <c r="E65" t="str">
        <f>"574.1"</f>
        <v>574.1</v>
      </c>
      <c r="F65" t="str">
        <f>"1,127.5"</f>
        <v>1,127.5</v>
      </c>
    </row>
    <row r="66" spans="1:6" x14ac:dyDescent="0.25">
      <c r="A66">
        <v>62</v>
      </c>
      <c r="B66" t="str">
        <f>"Barth, Parker (385781)"</f>
        <v>Barth, Parker (385781)</v>
      </c>
      <c r="C66" t="str">
        <f>"St.Michael, MN"</f>
        <v>St.Michael, MN</v>
      </c>
      <c r="D66" t="str">
        <f>"559.5"</f>
        <v>559.5</v>
      </c>
      <c r="E66" t="str">
        <f>"562.3"</f>
        <v>562.3</v>
      </c>
      <c r="F66" t="str">
        <f>"1,121.8"</f>
        <v>1,121.8</v>
      </c>
    </row>
    <row r="67" spans="1:6" x14ac:dyDescent="0.25">
      <c r="A67">
        <v>63</v>
      </c>
      <c r="B67" t="str">
        <f>"Liu, Steven (431829)"</f>
        <v>Liu, Steven (431829)</v>
      </c>
      <c r="C67" t="str">
        <f>"Markham, ON"</f>
        <v>Markham, ON</v>
      </c>
      <c r="D67" t="str">
        <f>"560.6"</f>
        <v>560.6</v>
      </c>
      <c r="E67" t="str">
        <f>"561.0"</f>
        <v>561.0</v>
      </c>
      <c r="F67" t="str">
        <f>"1,121.6"</f>
        <v>1,121.6</v>
      </c>
    </row>
    <row r="68" spans="1:6" x14ac:dyDescent="0.25">
      <c r="A68">
        <v>64</v>
      </c>
      <c r="B68" t="str">
        <f>"Hovis, Owen (486446)"</f>
        <v>Hovis, Owen (486446)</v>
      </c>
      <c r="C68" t="str">
        <f>"CENTER VALLEY, PA"</f>
        <v>CENTER VALLEY, PA</v>
      </c>
      <c r="D68" t="str">
        <f>"542.0"</f>
        <v>542.0</v>
      </c>
      <c r="E68" t="str">
        <f>"564.5"</f>
        <v>564.5</v>
      </c>
      <c r="F68" t="str">
        <f>"1,106.5"</f>
        <v>1,106.5</v>
      </c>
    </row>
    <row r="69" spans="1:6" x14ac:dyDescent="0.25">
      <c r="A69">
        <v>65</v>
      </c>
      <c r="B69" t="str">
        <f>"Lake, Austin (380714)"</f>
        <v>Lake, Austin (380714)</v>
      </c>
      <c r="C69" t="str">
        <f>"North East, PA"</f>
        <v>North East, PA</v>
      </c>
      <c r="D69" t="str">
        <f>"537.1"</f>
        <v>537.1</v>
      </c>
      <c r="E69" t="str">
        <f>"560.9"</f>
        <v>560.9</v>
      </c>
      <c r="F69" t="str">
        <f>"1,098.0"</f>
        <v>1,098.0</v>
      </c>
    </row>
    <row r="70" spans="1:6" x14ac:dyDescent="0.25">
      <c r="A70">
        <v>66</v>
      </c>
      <c r="B70" t="str">
        <f>"Kozak, Aiden (453401)"</f>
        <v>Kozak, Aiden (453401)</v>
      </c>
      <c r="C70" t="str">
        <f>"Charleston, WV"</f>
        <v>Charleston, WV</v>
      </c>
      <c r="D70" t="str">
        <f>"542.0"</f>
        <v>542.0</v>
      </c>
      <c r="E70" t="str">
        <f>"554.8"</f>
        <v>554.8</v>
      </c>
      <c r="F70" t="str">
        <f>"1,096.8"</f>
        <v>1,096.8</v>
      </c>
    </row>
    <row r="71" spans="1:6" x14ac:dyDescent="0.25">
      <c r="A71">
        <v>67</v>
      </c>
      <c r="B71" t="str">
        <f>"Solis, Haiden (449116)"</f>
        <v>Solis, Haiden (449116)</v>
      </c>
      <c r="C71" t="str">
        <f>"Saratoga Springs, NY"</f>
        <v>Saratoga Springs, NY</v>
      </c>
      <c r="D71" t="str">
        <f>"544.9"</f>
        <v>544.9</v>
      </c>
      <c r="E71" t="str">
        <f>"546.5"</f>
        <v>546.5</v>
      </c>
      <c r="F71" t="str">
        <f>"1,091.4"</f>
        <v>1,091.4</v>
      </c>
    </row>
    <row r="72" spans="1:6" x14ac:dyDescent="0.25">
      <c r="A72">
        <v>68</v>
      </c>
      <c r="B72" t="str">
        <f>"Speck, Jon (234685)"</f>
        <v>Speck, Jon (234685)</v>
      </c>
      <c r="C72" t="str">
        <f>"Pleasant Prairie, WI"</f>
        <v>Pleasant Prairie, WI</v>
      </c>
      <c r="D72" t="str">
        <f>"543.7"</f>
        <v>543.7</v>
      </c>
      <c r="E72" t="str">
        <f>"541.4"</f>
        <v>541.4</v>
      </c>
      <c r="F72" t="str">
        <f>"1,085.1"</f>
        <v>1,085.1</v>
      </c>
    </row>
    <row r="73" spans="1:6" x14ac:dyDescent="0.25">
      <c r="A73">
        <v>69</v>
      </c>
      <c r="B73" t="str">
        <f>"Nouel, Jose (436769)"</f>
        <v>Nouel, Jose (436769)</v>
      </c>
      <c r="C73" t="str">
        <f>"Flushing, NY"</f>
        <v>Flushing, NY</v>
      </c>
      <c r="D73" t="str">
        <f>"547.2"</f>
        <v>547.2</v>
      </c>
      <c r="E73" t="str">
        <f>"532.8"</f>
        <v>532.8</v>
      </c>
      <c r="F73" t="str">
        <f>"1,080.0"</f>
        <v>1,080.0</v>
      </c>
    </row>
    <row r="74" spans="1:6" x14ac:dyDescent="0.25">
      <c r="A74">
        <v>70</v>
      </c>
      <c r="B74" t="str">
        <f>"Anavkar, Yash (467177)"</f>
        <v>Anavkar, Yash (467177)</v>
      </c>
      <c r="C74" t="str">
        <f>"Edison, NJ"</f>
        <v>Edison, NJ</v>
      </c>
      <c r="D74" t="str">
        <f>"502.6"</f>
        <v>502.6</v>
      </c>
      <c r="E74" t="str">
        <f>"538.0"</f>
        <v>538.0</v>
      </c>
      <c r="F74" t="str">
        <f>"1,040.6"</f>
        <v>1,040.6</v>
      </c>
    </row>
    <row r="75" spans="1:6" x14ac:dyDescent="0.25">
      <c r="A75">
        <v>71</v>
      </c>
      <c r="B75" t="str">
        <f>"Casini, Giacomo (479944)"</f>
        <v>Casini, Giacomo (479944)</v>
      </c>
      <c r="C75" t="str">
        <f>"Fort Wayne, IN"</f>
        <v>Fort Wayne, IN</v>
      </c>
      <c r="D75" t="str">
        <f>"500.9"</f>
        <v>500.9</v>
      </c>
      <c r="E75" t="str">
        <f>"490.0"</f>
        <v>490.0</v>
      </c>
      <c r="F75" t="str">
        <f>"990.9"</f>
        <v>990.9</v>
      </c>
    </row>
    <row r="76" spans="1:6" x14ac:dyDescent="0.25">
      <c r="A76">
        <v>72</v>
      </c>
      <c r="B76" t="str">
        <f>"Headlee, David (477257)"</f>
        <v>Headlee, David (477257)</v>
      </c>
      <c r="C76" t="str">
        <f>"Fort wayne, IN"</f>
        <v>Fort wayne, IN</v>
      </c>
      <c r="D76" t="str">
        <f>"428.6"</f>
        <v>428.6</v>
      </c>
      <c r="E76" t="str">
        <f>"439.4"</f>
        <v>439.4</v>
      </c>
      <c r="F76" t="str">
        <f>"868.0"</f>
        <v>868.0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3465-2D61-446B-9C55-D9F115B619B0}">
  <dimension ref="A1:T27"/>
  <sheetViews>
    <sheetView workbookViewId="0">
      <selection activeCell="A16" sqref="A16:T29"/>
    </sheetView>
  </sheetViews>
  <sheetFormatPr defaultRowHeight="15" x14ac:dyDescent="0.25"/>
  <cols>
    <col min="1" max="1" width="34.140625" bestFit="1" customWidth="1"/>
    <col min="2" max="2" width="31.5703125" bestFit="1" customWidth="1"/>
    <col min="3" max="3" width="17.5703125" bestFit="1" customWidth="1"/>
  </cols>
  <sheetData>
    <row r="1" spans="1:20" x14ac:dyDescent="0.25">
      <c r="A1" t="str">
        <f>"2024 USAS Winter Air Gun Camp Perry"</f>
        <v>2024 USAS Winter Air Gun Camp Perry</v>
      </c>
    </row>
    <row r="2" spans="1:20" x14ac:dyDescent="0.25">
      <c r="A2" t="str">
        <f>"Open Rifle Finals - Men"</f>
        <v>Open Rifle Finals - Men</v>
      </c>
    </row>
    <row r="3" spans="1:20" x14ac:dyDescent="0.25">
      <c r="A3" t="str">
        <f>""</f>
        <v/>
      </c>
    </row>
    <row r="4" spans="1:20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"ISSF Final, First 5 Shot Stage"</f>
        <v>ISSF Final, First 5 Shot Stage</v>
      </c>
      <c r="E4" t="str">
        <f>"ISSF Final, Second 5 Shot"</f>
        <v>ISSF Final, Second 5 Shot</v>
      </c>
      <c r="F4" t="str">
        <f>"ISSF Final, First 2 Shot"</f>
        <v>ISSF Final, First 2 Shot</v>
      </c>
      <c r="G4" t="str">
        <f>"ISSF Final, Shootoff after F3"</f>
        <v>ISSF Final, Shootoff after F3</v>
      </c>
      <c r="H4" t="str">
        <f>"ISSF Final, Second 2 Shot"</f>
        <v>ISSF Final, Second 2 Shot</v>
      </c>
      <c r="I4" t="str">
        <f>"ISSF Final, Shootoff after F4"</f>
        <v>ISSF Final, Shootoff after F4</v>
      </c>
      <c r="J4" t="str">
        <f>"ISSF Final, Third 2 Shot"</f>
        <v>ISSF Final, Third 2 Shot</v>
      </c>
      <c r="K4" t="str">
        <f>"ISSF Final, Shootoff after F5"</f>
        <v>ISSF Final, Shootoff after F5</v>
      </c>
      <c r="L4" t="str">
        <f>"ISSF Final, Fourth 2 Shot"</f>
        <v>ISSF Final, Fourth 2 Shot</v>
      </c>
      <c r="M4" t="str">
        <f>"ISSF Final, Shootoff after F6"</f>
        <v>ISSF Final, Shootoff after F6</v>
      </c>
      <c r="N4" t="str">
        <f>"ISSF Final, Fifth 2 Shot"</f>
        <v>ISSF Final, Fifth 2 Shot</v>
      </c>
      <c r="O4" t="str">
        <f>"ISSF Final, Shootoff after F7"</f>
        <v>ISSF Final, Shootoff after F7</v>
      </c>
      <c r="P4" t="str">
        <f>"ISSF Final, Sixth 2 Shot"</f>
        <v>ISSF Final, Sixth 2 Shot</v>
      </c>
      <c r="Q4" t="str">
        <f>"ISSF Final, Shootoff after F8"</f>
        <v>ISSF Final, Shootoff after F8</v>
      </c>
      <c r="R4" t="str">
        <f>"ISSF Final, Seventh 2 Shot"</f>
        <v>ISSF Final, Seventh 2 Shot</v>
      </c>
      <c r="S4" t="str">
        <f>"ISSF Final, Shootoff after F9"</f>
        <v>ISSF Final, Shootoff after F9</v>
      </c>
      <c r="T4" t="str">
        <f>"Aggregate"</f>
        <v>Aggregate</v>
      </c>
    </row>
    <row r="5" spans="1:20" x14ac:dyDescent="0.25">
      <c r="A5">
        <v>1</v>
      </c>
      <c r="B5" t="str">
        <f>"Peiser, Braden (280766)"</f>
        <v>Peiser, Braden (280766)</v>
      </c>
      <c r="C5" t="str">
        <f>"San Angelo, TX"</f>
        <v>San Angelo, TX</v>
      </c>
      <c r="D5" t="str">
        <f>"51.8"</f>
        <v>51.8</v>
      </c>
      <c r="E5" t="str">
        <f>"52.4"</f>
        <v>52.4</v>
      </c>
      <c r="F5" t="str">
        <f>"20.9"</f>
        <v>20.9</v>
      </c>
      <c r="G5" t="str">
        <f>"21.3"</f>
        <v>21.3</v>
      </c>
      <c r="H5" t="str">
        <f>"21.0"</f>
        <v>21.0</v>
      </c>
      <c r="I5" t="str">
        <f>""</f>
        <v/>
      </c>
      <c r="J5" t="str">
        <f>"21.3"</f>
        <v>21.3</v>
      </c>
      <c r="K5" t="str">
        <f>""</f>
        <v/>
      </c>
      <c r="L5" t="str">
        <f>"21.5"</f>
        <v>21.5</v>
      </c>
      <c r="M5" t="str">
        <f>""</f>
        <v/>
      </c>
      <c r="N5" t="str">
        <f>"20.8"</f>
        <v>20.8</v>
      </c>
      <c r="O5" t="str">
        <f>""</f>
        <v/>
      </c>
      <c r="P5" t="str">
        <f>""</f>
        <v/>
      </c>
      <c r="Q5" t="str">
        <f>""</f>
        <v/>
      </c>
      <c r="R5" t="str">
        <f>"21.1"</f>
        <v>21.1</v>
      </c>
      <c r="S5" t="str">
        <f>""</f>
        <v/>
      </c>
      <c r="T5" t="str">
        <f>"230.8"</f>
        <v>230.8</v>
      </c>
    </row>
    <row r="6" spans="1:20" x14ac:dyDescent="0.25">
      <c r="A6">
        <v>2</v>
      </c>
      <c r="B6" t="str">
        <f>"Barnick, Gavin (277417)"</f>
        <v>Barnick, Gavin (277417)</v>
      </c>
      <c r="C6" t="str">
        <f>"Appleton, WI"</f>
        <v>Appleton, WI</v>
      </c>
      <c r="D6" t="str">
        <f>"51.9"</f>
        <v>51.9</v>
      </c>
      <c r="E6" t="str">
        <f>"52.6"</f>
        <v>52.6</v>
      </c>
      <c r="F6" t="str">
        <f>"20.6"</f>
        <v>20.6</v>
      </c>
      <c r="G6" t="str">
        <f>"20.7"</f>
        <v>20.7</v>
      </c>
      <c r="H6" t="str">
        <f>"20.7"</f>
        <v>20.7</v>
      </c>
      <c r="I6" t="str">
        <f>""</f>
        <v/>
      </c>
      <c r="J6" t="str">
        <f>"21.3"</f>
        <v>21.3</v>
      </c>
      <c r="K6" t="str">
        <f>""</f>
        <v/>
      </c>
      <c r="L6" t="str">
        <f>"21.5"</f>
        <v>21.5</v>
      </c>
      <c r="M6" t="str">
        <f>""</f>
        <v/>
      </c>
      <c r="N6" t="str">
        <f>"20.8"</f>
        <v>20.8</v>
      </c>
      <c r="O6" t="str">
        <f>""</f>
        <v/>
      </c>
      <c r="P6" t="str">
        <f>""</f>
        <v/>
      </c>
      <c r="Q6" t="str">
        <f>""</f>
        <v/>
      </c>
      <c r="R6" t="str">
        <f>"20.7"</f>
        <v>20.7</v>
      </c>
      <c r="S6" t="str">
        <f>""</f>
        <v/>
      </c>
      <c r="T6" t="str">
        <f>"230.1"</f>
        <v>230.1</v>
      </c>
    </row>
    <row r="7" spans="1:20" x14ac:dyDescent="0.25">
      <c r="A7">
        <v>3</v>
      </c>
      <c r="B7" t="str">
        <f>"Muske, Brandon, SSG, USA (66790)"</f>
        <v>Muske, Brandon, SSG, USA (66790)</v>
      </c>
      <c r="C7" t="str">
        <f>"Midland, GA"</f>
        <v>Midland, GA</v>
      </c>
      <c r="D7" t="str">
        <f>"52.0"</f>
        <v>52.0</v>
      </c>
      <c r="E7" t="str">
        <f>"52.7"</f>
        <v>52.7</v>
      </c>
      <c r="F7" t="str">
        <f>"20.8"</f>
        <v>20.8</v>
      </c>
      <c r="G7" t="str">
        <f>""</f>
        <v/>
      </c>
      <c r="H7" t="str">
        <f>"20.9"</f>
        <v>20.9</v>
      </c>
      <c r="I7" t="str">
        <f>""</f>
        <v/>
      </c>
      <c r="J7" t="str">
        <f>"20.6"</f>
        <v>20.6</v>
      </c>
      <c r="K7" t="str">
        <f>""</f>
        <v/>
      </c>
      <c r="L7" t="str">
        <f>"21.1"</f>
        <v>21.1</v>
      </c>
      <c r="M7" t="str">
        <f>""</f>
        <v/>
      </c>
      <c r="N7" t="str">
        <f>"21.2"</f>
        <v>21.2</v>
      </c>
      <c r="O7" t="str">
        <f>""</f>
        <v/>
      </c>
      <c r="P7" t="str">
        <f>""</f>
        <v/>
      </c>
      <c r="Q7" t="str">
        <f>""</f>
        <v/>
      </c>
      <c r="R7" t="str">
        <f>"20.3"</f>
        <v>20.3</v>
      </c>
      <c r="S7" t="str">
        <f>""</f>
        <v/>
      </c>
      <c r="T7" t="str">
        <f>"229.6"</f>
        <v>229.6</v>
      </c>
    </row>
    <row r="8" spans="1:20" x14ac:dyDescent="0.25">
      <c r="A8">
        <v>4</v>
      </c>
      <c r="B8" t="str">
        <f>"Eddy, Jared, SP4, USA (224371)"</f>
        <v>Eddy, Jared, SP4, USA (224371)</v>
      </c>
      <c r="C8" t="str">
        <f>"Midland, GA"</f>
        <v>Midland, GA</v>
      </c>
      <c r="D8" t="str">
        <f>"53.1"</f>
        <v>53.1</v>
      </c>
      <c r="E8" t="str">
        <f>"51.7"</f>
        <v>51.7</v>
      </c>
      <c r="F8" t="str">
        <f>"20.4"</f>
        <v>20.4</v>
      </c>
      <c r="G8" t="str">
        <f>""</f>
        <v/>
      </c>
      <c r="H8" t="str">
        <f>"20.9"</f>
        <v>20.9</v>
      </c>
      <c r="I8" t="str">
        <f>""</f>
        <v/>
      </c>
      <c r="J8" t="str">
        <f>"21.0"</f>
        <v>21.0</v>
      </c>
      <c r="K8" t="str">
        <f>""</f>
        <v/>
      </c>
      <c r="L8" t="str">
        <f>"21.1"</f>
        <v>21.1</v>
      </c>
      <c r="M8" t="str">
        <f>""</f>
        <v/>
      </c>
      <c r="N8" t="str">
        <f>"20.9"</f>
        <v>20.9</v>
      </c>
      <c r="O8" t="str">
        <f>""</f>
        <v/>
      </c>
      <c r="P8" t="str">
        <f>""</f>
        <v/>
      </c>
      <c r="Q8" t="str">
        <f>""</f>
        <v/>
      </c>
      <c r="R8" t="str">
        <f>""</f>
        <v/>
      </c>
      <c r="S8" t="str">
        <f>""</f>
        <v/>
      </c>
      <c r="T8" t="str">
        <f>"209.1"</f>
        <v>209.1</v>
      </c>
    </row>
    <row r="9" spans="1:20" x14ac:dyDescent="0.25">
      <c r="A9">
        <v>5</v>
      </c>
      <c r="B9" t="str">
        <f>"Lake, Griffin (277543)"</f>
        <v>Lake, Griffin (277543)</v>
      </c>
      <c r="C9" t="str">
        <f>"Emmaus, PA"</f>
        <v>Emmaus, PA</v>
      </c>
      <c r="D9" t="str">
        <f>"51.0"</f>
        <v>51.0</v>
      </c>
      <c r="E9" t="str">
        <f>"52.8"</f>
        <v>52.8</v>
      </c>
      <c r="F9" t="str">
        <f>"21.4"</f>
        <v>21.4</v>
      </c>
      <c r="G9" t="str">
        <f>""</f>
        <v/>
      </c>
      <c r="H9" t="str">
        <f>"19.9"</f>
        <v>19.9</v>
      </c>
      <c r="I9" t="str">
        <f>""</f>
        <v/>
      </c>
      <c r="J9" t="str">
        <f>"21.2"</f>
        <v>21.2</v>
      </c>
      <c r="K9" t="str">
        <f>""</f>
        <v/>
      </c>
      <c r="L9" t="str">
        <f>"20.8"</f>
        <v>20.8</v>
      </c>
      <c r="M9" t="str">
        <f>""</f>
        <v/>
      </c>
      <c r="N9" t="str">
        <f>""</f>
        <v/>
      </c>
      <c r="O9" t="str">
        <f>""</f>
        <v/>
      </c>
      <c r="P9" t="str">
        <f>""</f>
        <v/>
      </c>
      <c r="Q9" t="str">
        <f>""</f>
        <v/>
      </c>
      <c r="R9" t="str">
        <f>""</f>
        <v/>
      </c>
      <c r="S9" t="str">
        <f>""</f>
        <v/>
      </c>
      <c r="T9" t="str">
        <f>"187.1"</f>
        <v>187.1</v>
      </c>
    </row>
    <row r="10" spans="1:20" x14ac:dyDescent="0.25">
      <c r="A10">
        <v>6</v>
      </c>
      <c r="B10" t="str">
        <f>"Clark, Levi, SGT, USA (239546)"</f>
        <v>Clark, Levi, SGT, USA (239546)</v>
      </c>
      <c r="C10" t="str">
        <f>"Columbus, GA"</f>
        <v>Columbus, GA</v>
      </c>
      <c r="D10" t="str">
        <f>"51.8"</f>
        <v>51.8</v>
      </c>
      <c r="E10" t="str">
        <f>"52.6"</f>
        <v>52.6</v>
      </c>
      <c r="F10" t="str">
        <f>"20.9"</f>
        <v>20.9</v>
      </c>
      <c r="G10" t="str">
        <f>""</f>
        <v/>
      </c>
      <c r="H10" t="str">
        <f>"19.8"</f>
        <v>19.8</v>
      </c>
      <c r="I10" t="str">
        <f>""</f>
        <v/>
      </c>
      <c r="J10" t="str">
        <f>"20.1"</f>
        <v>20.1</v>
      </c>
      <c r="K10" t="str">
        <f>""</f>
        <v/>
      </c>
      <c r="L10" t="str">
        <f>""</f>
        <v/>
      </c>
      <c r="M10" t="str">
        <f>""</f>
        <v/>
      </c>
      <c r="N10" t="str">
        <f>""</f>
        <v/>
      </c>
      <c r="O10" t="str">
        <f>""</f>
        <v/>
      </c>
      <c r="P10" t="str">
        <f>""</f>
        <v/>
      </c>
      <c r="Q10" t="str">
        <f>""</f>
        <v/>
      </c>
      <c r="R10" t="str">
        <f>""</f>
        <v/>
      </c>
      <c r="S10" t="str">
        <f>""</f>
        <v/>
      </c>
      <c r="T10" t="str">
        <f>"165.2"</f>
        <v>165.2</v>
      </c>
    </row>
    <row r="11" spans="1:20" x14ac:dyDescent="0.25">
      <c r="A11">
        <v>7</v>
      </c>
      <c r="B11" t="str">
        <f>"Roe, Ivan, SGT, USA (140994)"</f>
        <v>Roe, Ivan, SGT, USA (140994)</v>
      </c>
      <c r="C11" t="str">
        <f>"Phenix City, AL"</f>
        <v>Phenix City, AL</v>
      </c>
      <c r="D11" t="str">
        <f>"51.3"</f>
        <v>51.3</v>
      </c>
      <c r="E11" t="str">
        <f>"51.7"</f>
        <v>51.7</v>
      </c>
      <c r="F11" t="str">
        <f>"20.8"</f>
        <v>20.8</v>
      </c>
      <c r="G11" t="str">
        <f>""</f>
        <v/>
      </c>
      <c r="H11" t="str">
        <f>"20.9"</f>
        <v>20.9</v>
      </c>
      <c r="I11" t="str">
        <f>""</f>
        <v/>
      </c>
      <c r="J11" t="str">
        <f>""</f>
        <v/>
      </c>
      <c r="K11" t="str">
        <f>""</f>
        <v/>
      </c>
      <c r="L11" t="str">
        <f>""</f>
        <v/>
      </c>
      <c r="M11" t="str">
        <f>""</f>
        <v/>
      </c>
      <c r="N11" t="str">
        <f>""</f>
        <v/>
      </c>
      <c r="O11" t="str">
        <f>""</f>
        <v/>
      </c>
      <c r="P11" t="str">
        <f>""</f>
        <v/>
      </c>
      <c r="Q11" t="str">
        <f>""</f>
        <v/>
      </c>
      <c r="R11" t="str">
        <f>""</f>
        <v/>
      </c>
      <c r="S11" t="str">
        <f>""</f>
        <v/>
      </c>
      <c r="T11" t="str">
        <f>"144.7"</f>
        <v>144.7</v>
      </c>
    </row>
    <row r="12" spans="1:20" x14ac:dyDescent="0.25">
      <c r="A12">
        <v>8</v>
      </c>
      <c r="B12" t="str">
        <f>"Blanton III, John (284183)"</f>
        <v>Blanton III, John (284183)</v>
      </c>
      <c r="C12" t="str">
        <f>"Brookings, SD"</f>
        <v>Brookings, SD</v>
      </c>
      <c r="D12" t="str">
        <f>"52.5"</f>
        <v>52.5</v>
      </c>
      <c r="E12" t="str">
        <f>"51.0"</f>
        <v>51.0</v>
      </c>
      <c r="F12" t="str">
        <f>"19.7"</f>
        <v>19.7</v>
      </c>
      <c r="G12" t="str">
        <f>""</f>
        <v/>
      </c>
      <c r="H12" t="str">
        <f>""</f>
        <v/>
      </c>
      <c r="I12" t="str">
        <f>""</f>
        <v/>
      </c>
      <c r="J12" t="str">
        <f>""</f>
        <v/>
      </c>
      <c r="K12" t="str">
        <f>""</f>
        <v/>
      </c>
      <c r="L12" t="str">
        <f>""</f>
        <v/>
      </c>
      <c r="M12" t="str">
        <f>""</f>
        <v/>
      </c>
      <c r="N12" t="str">
        <f>""</f>
        <v/>
      </c>
      <c r="O12" t="str">
        <f>""</f>
        <v/>
      </c>
      <c r="P12" t="str">
        <f>""</f>
        <v/>
      </c>
      <c r="Q12" t="str">
        <f>""</f>
        <v/>
      </c>
      <c r="R12" t="str">
        <f>""</f>
        <v/>
      </c>
      <c r="S12" t="str">
        <f>""</f>
        <v/>
      </c>
      <c r="T12" t="str">
        <f>"123.2"</f>
        <v>123.2</v>
      </c>
    </row>
    <row r="16" spans="1:20" x14ac:dyDescent="0.25">
      <c r="A16" t="str">
        <f>"2024 USAS Winter Air Gun Camp Perry"</f>
        <v>2024 USAS Winter Air Gun Camp Perry</v>
      </c>
    </row>
    <row r="17" spans="1:20" x14ac:dyDescent="0.25">
      <c r="A17" t="str">
        <f>"Junior Rifle Finals - Men"</f>
        <v>Junior Rifle Finals - Men</v>
      </c>
    </row>
    <row r="18" spans="1:20" x14ac:dyDescent="0.25">
      <c r="A18" t="str">
        <f>""</f>
        <v/>
      </c>
    </row>
    <row r="19" spans="1:20" x14ac:dyDescent="0.25">
      <c r="A19" t="str">
        <f>"Place"</f>
        <v>Place</v>
      </c>
      <c r="B19" t="str">
        <f>"Competitor (Comp Num)"</f>
        <v>Competitor (Comp Num)</v>
      </c>
      <c r="C19" t="str">
        <f>"Hometown"</f>
        <v>Hometown</v>
      </c>
      <c r="D19" t="str">
        <f>"ISSF Final, First 5 Shot Stage"</f>
        <v>ISSF Final, First 5 Shot Stage</v>
      </c>
      <c r="E19" t="str">
        <f>"ISSF Final, Second 5 Shot"</f>
        <v>ISSF Final, Second 5 Shot</v>
      </c>
      <c r="F19" t="str">
        <f>"ISSF Final, First 2 Shot"</f>
        <v>ISSF Final, First 2 Shot</v>
      </c>
      <c r="G19" t="str">
        <f>"ISSF Final, Shootoff after F3"</f>
        <v>ISSF Final, Shootoff after F3</v>
      </c>
      <c r="H19" t="str">
        <f>"ISSF Final, Second 2 Shot"</f>
        <v>ISSF Final, Second 2 Shot</v>
      </c>
      <c r="I19" t="str">
        <f>"ISSF Final, Shootoff after F4"</f>
        <v>ISSF Final, Shootoff after F4</v>
      </c>
      <c r="J19" t="str">
        <f>"ISSF Final, Third 2 Shot"</f>
        <v>ISSF Final, Third 2 Shot</v>
      </c>
      <c r="K19" t="str">
        <f>"ISSF Final, Shootoff after F5"</f>
        <v>ISSF Final, Shootoff after F5</v>
      </c>
      <c r="L19" t="str">
        <f>"ISSF Final, Fourth 2 Shot"</f>
        <v>ISSF Final, Fourth 2 Shot</v>
      </c>
      <c r="M19" t="str">
        <f>"ISSF Final, Shootoff after F6"</f>
        <v>ISSF Final, Shootoff after F6</v>
      </c>
      <c r="N19" t="str">
        <f>"ISSF Final, Fifth 2 Shot"</f>
        <v>ISSF Final, Fifth 2 Shot</v>
      </c>
      <c r="O19" t="str">
        <f>"ISSF Final, Shootoff after F7"</f>
        <v>ISSF Final, Shootoff after F7</v>
      </c>
      <c r="P19" t="str">
        <f>"ISSF Final, Sixth 2 Shot"</f>
        <v>ISSF Final, Sixth 2 Shot</v>
      </c>
      <c r="Q19" t="str">
        <f>"ISSF Final, Shootoff after F8"</f>
        <v>ISSF Final, Shootoff after F8</v>
      </c>
      <c r="R19" t="str">
        <f>"ISSF Final, Seventh 2 Shot"</f>
        <v>ISSF Final, Seventh 2 Shot</v>
      </c>
      <c r="S19" t="str">
        <f>"ISSF Final, Shootoff after F9"</f>
        <v>ISSF Final, Shootoff after F9</v>
      </c>
      <c r="T19" t="str">
        <f>"Aggregate"</f>
        <v>Aggregate</v>
      </c>
    </row>
    <row r="20" spans="1:20" x14ac:dyDescent="0.25">
      <c r="A20">
        <v>1</v>
      </c>
      <c r="B20" t="str">
        <f>"Lake, Griffin (277543)"</f>
        <v>Lake, Griffin (277543)</v>
      </c>
      <c r="C20" t="str">
        <f>"Emmaus, PA"</f>
        <v>Emmaus, PA</v>
      </c>
      <c r="D20" t="str">
        <f>"52.6"</f>
        <v>52.6</v>
      </c>
      <c r="E20" t="str">
        <f>"52.9"</f>
        <v>52.9</v>
      </c>
      <c r="F20" t="str">
        <f>"20.0"</f>
        <v>20.0</v>
      </c>
      <c r="G20" t="str">
        <f>""</f>
        <v/>
      </c>
      <c r="H20" t="str">
        <f>"20.7"</f>
        <v>20.7</v>
      </c>
      <c r="I20" t="str">
        <f>""</f>
        <v/>
      </c>
      <c r="J20" t="str">
        <f>"21.2"</f>
        <v>21.2</v>
      </c>
      <c r="K20" t="str">
        <f>""</f>
        <v/>
      </c>
      <c r="L20" t="str">
        <f>"21.3"</f>
        <v>21.3</v>
      </c>
      <c r="M20" t="str">
        <f>""</f>
        <v/>
      </c>
      <c r="N20" t="str">
        <f>"21.1"</f>
        <v>21.1</v>
      </c>
      <c r="O20" t="str">
        <f>""</f>
        <v/>
      </c>
      <c r="P20" t="str">
        <f>"20.9"</f>
        <v>20.9</v>
      </c>
      <c r="Q20" t="str">
        <f>""</f>
        <v/>
      </c>
      <c r="R20" t="str">
        <f>"21.1"</f>
        <v>21.1</v>
      </c>
      <c r="S20" t="str">
        <f>""</f>
        <v/>
      </c>
      <c r="T20" t="str">
        <f>"251.8"</f>
        <v>251.8</v>
      </c>
    </row>
    <row r="21" spans="1:20" x14ac:dyDescent="0.25">
      <c r="A21">
        <v>2</v>
      </c>
      <c r="B21" t="str">
        <f>"Wisman, Jacob (280941)"</f>
        <v>Wisman, Jacob (280941)</v>
      </c>
      <c r="C21" t="str">
        <f>"Independence, WV"</f>
        <v>Independence, WV</v>
      </c>
      <c r="D21" t="str">
        <f>"52.0"</f>
        <v>52.0</v>
      </c>
      <c r="E21" t="str">
        <f>"51.8"</f>
        <v>51.8</v>
      </c>
      <c r="F21" t="str">
        <f>"20.8"</f>
        <v>20.8</v>
      </c>
      <c r="G21" t="str">
        <f>""</f>
        <v/>
      </c>
      <c r="H21" t="str">
        <f>"21.3"</f>
        <v>21.3</v>
      </c>
      <c r="I21" t="str">
        <f>""</f>
        <v/>
      </c>
      <c r="J21" t="str">
        <f>"21.0"</f>
        <v>21.0</v>
      </c>
      <c r="K21" t="str">
        <f>""</f>
        <v/>
      </c>
      <c r="L21" t="str">
        <f>"21.2"</f>
        <v>21.2</v>
      </c>
      <c r="M21" t="str">
        <f>""</f>
        <v/>
      </c>
      <c r="N21" t="str">
        <f>"20.5"</f>
        <v>20.5</v>
      </c>
      <c r="O21" t="str">
        <f>""</f>
        <v/>
      </c>
      <c r="P21" t="str">
        <f>"21.2"</f>
        <v>21.2</v>
      </c>
      <c r="Q21" t="str">
        <f>""</f>
        <v/>
      </c>
      <c r="R21" t="str">
        <f>"20.9"</f>
        <v>20.9</v>
      </c>
      <c r="S21" t="str">
        <f>""</f>
        <v/>
      </c>
      <c r="T21" t="str">
        <f>"250.7"</f>
        <v>250.7</v>
      </c>
    </row>
    <row r="22" spans="1:20" x14ac:dyDescent="0.25">
      <c r="A22">
        <v>3</v>
      </c>
      <c r="B22" t="str">
        <f>"Ogoreuc, Jack (345230)"</f>
        <v>Ogoreuc, Jack (345230)</v>
      </c>
      <c r="C22" t="str">
        <f>"Grove City, PA"</f>
        <v>Grove City, PA</v>
      </c>
      <c r="D22" t="str">
        <f>"52.0"</f>
        <v>52.0</v>
      </c>
      <c r="E22" t="str">
        <f>"51.1"</f>
        <v>51.1</v>
      </c>
      <c r="F22" t="str">
        <f>"20.4"</f>
        <v>20.4</v>
      </c>
      <c r="G22" t="str">
        <f>""</f>
        <v/>
      </c>
      <c r="H22" t="str">
        <f>"20.9"</f>
        <v>20.9</v>
      </c>
      <c r="I22" t="str">
        <f>""</f>
        <v/>
      </c>
      <c r="J22" t="str">
        <f>"21.5"</f>
        <v>21.5</v>
      </c>
      <c r="K22" t="str">
        <f>""</f>
        <v/>
      </c>
      <c r="L22" t="str">
        <f>"20.8"</f>
        <v>20.8</v>
      </c>
      <c r="M22" t="str">
        <f>""</f>
        <v/>
      </c>
      <c r="N22" t="str">
        <f>"19.6"</f>
        <v>19.6</v>
      </c>
      <c r="O22" t="str">
        <f>""</f>
        <v/>
      </c>
      <c r="P22" t="str">
        <f>"19.1"</f>
        <v>19.1</v>
      </c>
      <c r="Q22" t="str">
        <f>""</f>
        <v/>
      </c>
      <c r="R22" t="str">
        <f>""</f>
        <v/>
      </c>
      <c r="S22" t="str">
        <f>""</f>
        <v/>
      </c>
      <c r="T22" t="str">
        <f>"225.4"</f>
        <v>225.4</v>
      </c>
    </row>
    <row r="23" spans="1:20" x14ac:dyDescent="0.25">
      <c r="A23">
        <v>4</v>
      </c>
      <c r="B23" t="str">
        <f>"Adkins, Samuel (376725)"</f>
        <v>Adkins, Samuel (376725)</v>
      </c>
      <c r="C23" t="str">
        <f>"Hummelstown, PA"</f>
        <v>Hummelstown, PA</v>
      </c>
      <c r="D23" t="str">
        <f>"51.5"</f>
        <v>51.5</v>
      </c>
      <c r="E23" t="str">
        <f>"51.4"</f>
        <v>51.4</v>
      </c>
      <c r="F23" t="str">
        <f>"20.8"</f>
        <v>20.8</v>
      </c>
      <c r="G23" t="str">
        <f>""</f>
        <v/>
      </c>
      <c r="H23" t="str">
        <f>"20.1"</f>
        <v>20.1</v>
      </c>
      <c r="I23" t="str">
        <f>""</f>
        <v/>
      </c>
      <c r="J23" t="str">
        <f>"21.2"</f>
        <v>21.2</v>
      </c>
      <c r="K23" t="str">
        <f>""</f>
        <v/>
      </c>
      <c r="L23" t="str">
        <f>"20.6"</f>
        <v>20.6</v>
      </c>
      <c r="M23" t="str">
        <f>""</f>
        <v/>
      </c>
      <c r="N23" t="str">
        <f>"19.8"</f>
        <v>19.8</v>
      </c>
      <c r="O23" t="str">
        <f>""</f>
        <v/>
      </c>
      <c r="P23" t="str">
        <f>""</f>
        <v/>
      </c>
      <c r="Q23" t="str">
        <f>""</f>
        <v/>
      </c>
      <c r="R23" t="str">
        <f>""</f>
        <v/>
      </c>
      <c r="S23" t="str">
        <f>""</f>
        <v/>
      </c>
      <c r="T23" t="str">
        <f>"205.4"</f>
        <v>205.4</v>
      </c>
    </row>
    <row r="24" spans="1:20" x14ac:dyDescent="0.25">
      <c r="A24">
        <v>5</v>
      </c>
      <c r="B24" t="str">
        <f>"Peiser, Braden (280766)"</f>
        <v>Peiser, Braden (280766)</v>
      </c>
      <c r="C24" t="str">
        <f>"San Angelo, TX"</f>
        <v>San Angelo, TX</v>
      </c>
      <c r="D24" t="str">
        <f>"51.6"</f>
        <v>51.6</v>
      </c>
      <c r="E24" t="str">
        <f>"52.0"</f>
        <v>52.0</v>
      </c>
      <c r="F24" t="str">
        <f>"20.8"</f>
        <v>20.8</v>
      </c>
      <c r="G24" t="str">
        <f>""</f>
        <v/>
      </c>
      <c r="H24" t="str">
        <f>"20.7"</f>
        <v>20.7</v>
      </c>
      <c r="I24" t="str">
        <f>""</f>
        <v/>
      </c>
      <c r="J24" t="str">
        <f>"20.0"</f>
        <v>20.0</v>
      </c>
      <c r="K24" t="str">
        <f>""</f>
        <v/>
      </c>
      <c r="L24" t="str">
        <f>"20.2"</f>
        <v>20.2</v>
      </c>
      <c r="M24" t="str">
        <f>""</f>
        <v/>
      </c>
      <c r="N24" t="str">
        <f>""</f>
        <v/>
      </c>
      <c r="O24" t="str">
        <f>""</f>
        <v/>
      </c>
      <c r="P24" t="str">
        <f>""</f>
        <v/>
      </c>
      <c r="Q24" t="str">
        <f>""</f>
        <v/>
      </c>
      <c r="R24" t="str">
        <f>""</f>
        <v/>
      </c>
      <c r="S24" t="str">
        <f>""</f>
        <v/>
      </c>
      <c r="T24" t="str">
        <f>"185.3"</f>
        <v>185.3</v>
      </c>
    </row>
    <row r="25" spans="1:20" x14ac:dyDescent="0.25">
      <c r="A25">
        <v>6</v>
      </c>
      <c r="B25" t="str">
        <f>"Wee, Tyler (339686)"</f>
        <v>Wee, Tyler (339686)</v>
      </c>
      <c r="C25" t="str">
        <f>"Wake Forest, NC"</f>
        <v>Wake Forest, NC</v>
      </c>
      <c r="D25" t="str">
        <f>"50.2"</f>
        <v>50.2</v>
      </c>
      <c r="E25" t="str">
        <f>"50.8"</f>
        <v>50.8</v>
      </c>
      <c r="F25" t="str">
        <f>"20.6"</f>
        <v>20.6</v>
      </c>
      <c r="G25" t="str">
        <f>""</f>
        <v/>
      </c>
      <c r="H25" t="str">
        <f>"21.6"</f>
        <v>21.6</v>
      </c>
      <c r="I25" t="str">
        <f>""</f>
        <v/>
      </c>
      <c r="J25" t="str">
        <f>"20.8"</f>
        <v>20.8</v>
      </c>
      <c r="K25" t="str">
        <f>""</f>
        <v/>
      </c>
      <c r="L25" t="str">
        <f>""</f>
        <v/>
      </c>
      <c r="M25" t="str">
        <f>""</f>
        <v/>
      </c>
      <c r="N25" t="str">
        <f>""</f>
        <v/>
      </c>
      <c r="O25" t="str">
        <f>""</f>
        <v/>
      </c>
      <c r="P25" t="str">
        <f>""</f>
        <v/>
      </c>
      <c r="Q25" t="str">
        <f>""</f>
        <v/>
      </c>
      <c r="R25" t="str">
        <f>""</f>
        <v/>
      </c>
      <c r="S25" t="str">
        <f>""</f>
        <v/>
      </c>
      <c r="T25" t="str">
        <f>"164.0"</f>
        <v>164.0</v>
      </c>
    </row>
    <row r="26" spans="1:20" x14ac:dyDescent="0.25">
      <c r="A26">
        <v>7</v>
      </c>
      <c r="B26" t="str">
        <f>"Hotko, Anthony (332337)"</f>
        <v>Hotko, Anthony (332337)</v>
      </c>
      <c r="C26" t="str">
        <f>"Batavia, IL"</f>
        <v>Batavia, IL</v>
      </c>
      <c r="D26" t="str">
        <f>"51.2"</f>
        <v>51.2</v>
      </c>
      <c r="E26" t="str">
        <f>"50.8"</f>
        <v>50.8</v>
      </c>
      <c r="F26" t="str">
        <f>"19.3"</f>
        <v>19.3</v>
      </c>
      <c r="G26" t="str">
        <f>""</f>
        <v/>
      </c>
      <c r="H26" t="str">
        <f>"20.0"</f>
        <v>20.0</v>
      </c>
      <c r="I26" t="str">
        <f>""</f>
        <v/>
      </c>
      <c r="J26" t="str">
        <f>""</f>
        <v/>
      </c>
      <c r="K26" t="str">
        <f>""</f>
        <v/>
      </c>
      <c r="L26" t="str">
        <f>""</f>
        <v/>
      </c>
      <c r="M26" t="str">
        <f>""</f>
        <v/>
      </c>
      <c r="N26" t="str">
        <f>""</f>
        <v/>
      </c>
      <c r="O26" t="str">
        <f>""</f>
        <v/>
      </c>
      <c r="P26" t="str">
        <f>""</f>
        <v/>
      </c>
      <c r="Q26" t="str">
        <f>""</f>
        <v/>
      </c>
      <c r="R26" t="str">
        <f>""</f>
        <v/>
      </c>
      <c r="S26" t="str">
        <f>""</f>
        <v/>
      </c>
      <c r="T26" t="str">
        <f>"141.3"</f>
        <v>141.3</v>
      </c>
    </row>
    <row r="27" spans="1:20" x14ac:dyDescent="0.25">
      <c r="A27">
        <v>8</v>
      </c>
      <c r="B27" t="str">
        <f>"Evans, Brandon (356924)"</f>
        <v>Evans, Brandon (356924)</v>
      </c>
      <c r="C27" t="str">
        <f>"Poquoson, VA"</f>
        <v>Poquoson, VA</v>
      </c>
      <c r="D27" t="str">
        <f>"49.1"</f>
        <v>49.1</v>
      </c>
      <c r="E27" t="str">
        <f>"51.4"</f>
        <v>51.4</v>
      </c>
      <c r="F27" t="str">
        <f>"20.6"</f>
        <v>20.6</v>
      </c>
      <c r="G27" t="str">
        <f>""</f>
        <v/>
      </c>
      <c r="H27" t="str">
        <f>""</f>
        <v/>
      </c>
      <c r="I27" t="str">
        <f>""</f>
        <v/>
      </c>
      <c r="J27" t="str">
        <f>""</f>
        <v/>
      </c>
      <c r="K27" t="str">
        <f>""</f>
        <v/>
      </c>
      <c r="L27" t="str">
        <f>""</f>
        <v/>
      </c>
      <c r="M27" t="str">
        <f>""</f>
        <v/>
      </c>
      <c r="N27" t="str">
        <f>""</f>
        <v/>
      </c>
      <c r="O27" t="str">
        <f>""</f>
        <v/>
      </c>
      <c r="P27" t="str">
        <f>""</f>
        <v/>
      </c>
      <c r="Q27" t="str">
        <f>""</f>
        <v/>
      </c>
      <c r="R27" t="str">
        <f>""</f>
        <v/>
      </c>
      <c r="S27" t="str">
        <f>""</f>
        <v/>
      </c>
      <c r="T27" t="str">
        <f>"121.1"</f>
        <v>121.1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D572-68DC-489C-BABB-55FF77C6463A}">
  <dimension ref="A1:F23"/>
  <sheetViews>
    <sheetView workbookViewId="0">
      <selection sqref="A1:XFD1048576"/>
    </sheetView>
  </sheetViews>
  <sheetFormatPr defaultRowHeight="15" x14ac:dyDescent="0.25"/>
  <cols>
    <col min="1" max="1" width="34.140625" bestFit="1" customWidth="1"/>
    <col min="2" max="2" width="26.42578125" bestFit="1" customWidth="1"/>
    <col min="3" max="3" width="18.42578125" bestFit="1" customWidth="1"/>
    <col min="4" max="4" width="7.5703125" bestFit="1" customWidth="1"/>
    <col min="5" max="5" width="11.140625" bestFit="1" customWidth="1"/>
    <col min="6" max="6" width="9.5703125" bestFit="1" customWidth="1"/>
  </cols>
  <sheetData>
    <row r="1" spans="1:6" x14ac:dyDescent="0.25">
      <c r="A1" t="str">
        <f>"2024 USAS Winter Air Gun Camp Perry"</f>
        <v>2024 USAS Winter Air Gun Camp Perry</v>
      </c>
    </row>
    <row r="2" spans="1:6" x14ac:dyDescent="0.25">
      <c r="A2" t="str">
        <f>"Open Qualification - Women"</f>
        <v>Open Qualification - Women</v>
      </c>
    </row>
    <row r="3" spans="1:6" x14ac:dyDescent="0.25">
      <c r="A3" t="str">
        <f>""</f>
        <v/>
      </c>
    </row>
    <row r="4" spans="1:6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"D1 60 P"</f>
        <v>D1 60 P</v>
      </c>
      <c r="E4" t="str">
        <f>"D2 60 Pistol"</f>
        <v>D2 60 Pistol</v>
      </c>
      <c r="F4" t="str">
        <f>"Aggregate"</f>
        <v>Aggregate</v>
      </c>
    </row>
    <row r="5" spans="1:6" x14ac:dyDescent="0.25">
      <c r="A5">
        <v>1</v>
      </c>
      <c r="B5" t="str">
        <f>"Sanghera, Suman (346247)"</f>
        <v>Sanghera, Suman (346247)</v>
      </c>
      <c r="C5" t="str">
        <f>"Great Falls, VA"</f>
        <v>Great Falls, VA</v>
      </c>
      <c r="D5" t="str">
        <f>"579 - 23"</f>
        <v>579 - 23</v>
      </c>
      <c r="E5" t="str">
        <f>"569 - 11"</f>
        <v>569 - 11</v>
      </c>
      <c r="F5" t="str">
        <f>"1,148 - 34"</f>
        <v>1,148 - 34</v>
      </c>
    </row>
    <row r="6" spans="1:6" x14ac:dyDescent="0.25">
      <c r="A6">
        <v>2</v>
      </c>
      <c r="B6" t="str">
        <f>"Allan, Eva (487564)"</f>
        <v>Allan, Eva (487564)</v>
      </c>
      <c r="C6" t="str">
        <f>"Mooresville, NC"</f>
        <v>Mooresville, NC</v>
      </c>
      <c r="D6" t="str">
        <f>"560 - 11"</f>
        <v>560 - 11</v>
      </c>
      <c r="E6" t="str">
        <f>"558 - 9"</f>
        <v>558 - 9</v>
      </c>
      <c r="F6" t="str">
        <f>"1,118 - 20"</f>
        <v>1,118 - 20</v>
      </c>
    </row>
    <row r="7" spans="1:6" x14ac:dyDescent="0.25">
      <c r="A7">
        <v>3</v>
      </c>
      <c r="B7" t="str">
        <f>"Korkhin, Ada (327592)"</f>
        <v>Korkhin, Ada (327592)</v>
      </c>
      <c r="C7" t="str">
        <f>"BROOKLINE, MA"</f>
        <v>BROOKLINE, MA</v>
      </c>
      <c r="D7" t="str">
        <f>"554 - 4"</f>
        <v>554 - 4</v>
      </c>
      <c r="E7" t="str">
        <f>"558 - 12"</f>
        <v>558 - 12</v>
      </c>
      <c r="F7" t="str">
        <f>"1,112 - 16"</f>
        <v>1,112 - 16</v>
      </c>
    </row>
    <row r="8" spans="1:6" x14ac:dyDescent="0.25">
      <c r="A8">
        <v>4</v>
      </c>
      <c r="B8" t="str">
        <f>"Coban, Bilge (486847)"</f>
        <v>Coban, Bilge (486847)</v>
      </c>
      <c r="C8" t="str">
        <f>"Brooklyn, NY"</f>
        <v>Brooklyn, NY</v>
      </c>
      <c r="D8" t="str">
        <f>"551 - 9"</f>
        <v>551 - 9</v>
      </c>
      <c r="E8" t="str">
        <f>"557 - 9"</f>
        <v>557 - 9</v>
      </c>
      <c r="F8" t="str">
        <f>"1,108 - 18"</f>
        <v>1,108 - 18</v>
      </c>
    </row>
    <row r="9" spans="1:6" x14ac:dyDescent="0.25">
      <c r="A9">
        <v>5</v>
      </c>
      <c r="B9" t="str">
        <f>"Mueller, Leah (400392)"</f>
        <v>Mueller, Leah (400392)</v>
      </c>
      <c r="C9" t="str">
        <f>"Iola, KS"</f>
        <v>Iola, KS</v>
      </c>
      <c r="D9" t="str">
        <f>"553 - 13"</f>
        <v>553 - 13</v>
      </c>
      <c r="E9" t="str">
        <f>"550 - 9"</f>
        <v>550 - 9</v>
      </c>
      <c r="F9" t="str">
        <f>"1,103 - 22"</f>
        <v>1,103 - 22</v>
      </c>
    </row>
    <row r="10" spans="1:6" x14ac:dyDescent="0.25">
      <c r="A10">
        <v>6</v>
      </c>
      <c r="B10" t="str">
        <f>"Dickey, Ariana (487572)"</f>
        <v>Dickey, Ariana (487572)</v>
      </c>
      <c r="C10" t="str">
        <f>"North Potomac, MD"</f>
        <v>North Potomac, MD</v>
      </c>
      <c r="D10" t="str">
        <f>"542 - 6"</f>
        <v>542 - 6</v>
      </c>
      <c r="E10" t="str">
        <f>"550 - 14"</f>
        <v>550 - 14</v>
      </c>
      <c r="F10" t="str">
        <f>"1,092 - 20"</f>
        <v>1,092 - 20</v>
      </c>
    </row>
    <row r="11" spans="1:6" x14ac:dyDescent="0.25">
      <c r="A11">
        <v>7</v>
      </c>
      <c r="B11" t="str">
        <f>"Deokule, Anjali (400379)"</f>
        <v>Deokule, Anjali (400379)</v>
      </c>
      <c r="C11" t="str">
        <f>"Lutz, FL"</f>
        <v>Lutz, FL</v>
      </c>
      <c r="D11" t="str">
        <f>"551 - 6"</f>
        <v>551 - 6</v>
      </c>
      <c r="E11" t="str">
        <f>"539 - 11"</f>
        <v>539 - 11</v>
      </c>
      <c r="F11" t="str">
        <f>"1,090 - 17"</f>
        <v>1,090 - 17</v>
      </c>
    </row>
    <row r="12" spans="1:6" x14ac:dyDescent="0.25">
      <c r="A12">
        <v>8</v>
      </c>
      <c r="B12" t="str">
        <f>"Deokule, Ankita (400381)"</f>
        <v>Deokule, Ankita (400381)</v>
      </c>
      <c r="C12" t="str">
        <f>"Lutz, FL"</f>
        <v>Lutz, FL</v>
      </c>
      <c r="D12" t="str">
        <f>"539 - 6"</f>
        <v>539 - 6</v>
      </c>
      <c r="E12" t="str">
        <f>"548 - 7"</f>
        <v>548 - 7</v>
      </c>
      <c r="F12" t="str">
        <f>"1,087 - 13"</f>
        <v>1,087 - 13</v>
      </c>
    </row>
    <row r="13" spans="1:6" x14ac:dyDescent="0.25">
      <c r="A13">
        <v>9</v>
      </c>
      <c r="B13" t="str">
        <f>"Ganstooj, Maral (431669)"</f>
        <v>Ganstooj, Maral (431669)</v>
      </c>
      <c r="C13" t="str">
        <f>"Schaumburg, IL"</f>
        <v>Schaumburg, IL</v>
      </c>
      <c r="D13" t="str">
        <f>"537 - 5"</f>
        <v>537 - 5</v>
      </c>
      <c r="E13" t="str">
        <f>"548 - 10"</f>
        <v>548 - 10</v>
      </c>
      <c r="F13" t="str">
        <f>"1,085 - 15"</f>
        <v>1,085 - 15</v>
      </c>
    </row>
    <row r="14" spans="1:6" x14ac:dyDescent="0.25">
      <c r="A14">
        <v>10</v>
      </c>
      <c r="B14" t="str">
        <f>"Singh, Saanvi (400475)"</f>
        <v>Singh, Saanvi (400475)</v>
      </c>
      <c r="C14" t="str">
        <f>"Schaumburg, IL"</f>
        <v>Schaumburg, IL</v>
      </c>
      <c r="D14" t="str">
        <f>"536 - 6"</f>
        <v>536 - 6</v>
      </c>
      <c r="E14" t="str">
        <f>"545 - 11"</f>
        <v>545 - 11</v>
      </c>
      <c r="F14" t="str">
        <f>"1,081 - 17"</f>
        <v>1,081 - 17</v>
      </c>
    </row>
    <row r="15" spans="1:6" x14ac:dyDescent="0.25">
      <c r="A15">
        <v>11</v>
      </c>
      <c r="B15" t="str">
        <f>"Savarde, Sara (454828)"</f>
        <v>Savarde, Sara (454828)</v>
      </c>
      <c r="C15" t="str">
        <f>"Lutz, FL"</f>
        <v>Lutz, FL</v>
      </c>
      <c r="D15" t="str">
        <f>"539 - 5"</f>
        <v>539 - 5</v>
      </c>
      <c r="E15" t="str">
        <f>"535 - 4"</f>
        <v>535 - 4</v>
      </c>
      <c r="F15" t="str">
        <f>"1,074 - 9"</f>
        <v>1,074 - 9</v>
      </c>
    </row>
    <row r="16" spans="1:6" x14ac:dyDescent="0.25">
      <c r="A16">
        <v>12</v>
      </c>
      <c r="B16" t="str">
        <f>"Gawande, Bhargavi (419375)"</f>
        <v>Gawande, Bhargavi (419375)</v>
      </c>
      <c r="C16" t="str">
        <f>"Lutz, FL"</f>
        <v>Lutz, FL</v>
      </c>
      <c r="D16" t="str">
        <f>"534 - 5"</f>
        <v>534 - 5</v>
      </c>
      <c r="E16" t="str">
        <f>"539 - 4"</f>
        <v>539 - 4</v>
      </c>
      <c r="F16" t="str">
        <f>"1,073 - 9"</f>
        <v>1,073 - 9</v>
      </c>
    </row>
    <row r="17" spans="1:6" x14ac:dyDescent="0.25">
      <c r="A17">
        <v>13</v>
      </c>
      <c r="B17" t="str">
        <f>"Wagh, Samyukta (419466)"</f>
        <v>Wagh, Samyukta (419466)</v>
      </c>
      <c r="C17" t="str">
        <f>"Lutz, FL"</f>
        <v>Lutz, FL</v>
      </c>
      <c r="D17" t="str">
        <f>"525 - 2"</f>
        <v>525 - 2</v>
      </c>
      <c r="E17" t="str">
        <f>"526 - 7"</f>
        <v>526 - 7</v>
      </c>
      <c r="F17" t="str">
        <f>"1,051 - 9"</f>
        <v>1,051 - 9</v>
      </c>
    </row>
    <row r="18" spans="1:6" x14ac:dyDescent="0.25">
      <c r="A18">
        <v>14</v>
      </c>
      <c r="B18" t="str">
        <f>"Aglave , Tanishka  (478859)"</f>
        <v>Aglave , Tanishka  (478859)</v>
      </c>
      <c r="C18" t="str">
        <f>"Valrico , FL"</f>
        <v>Valrico , FL</v>
      </c>
      <c r="D18" t="str">
        <f>"521 - 8"</f>
        <v>521 - 8</v>
      </c>
      <c r="E18" t="str">
        <f>"512 - 5"</f>
        <v>512 - 5</v>
      </c>
      <c r="F18" t="str">
        <f>"1,033 - 13"</f>
        <v>1,033 - 13</v>
      </c>
    </row>
    <row r="19" spans="1:6" x14ac:dyDescent="0.25">
      <c r="A19">
        <v>15</v>
      </c>
      <c r="B19" t="str">
        <f>"Diaz, Alaiza (478441)"</f>
        <v>Diaz, Alaiza (478441)</v>
      </c>
      <c r="C19" t="str">
        <f>"Isabela, PR"</f>
        <v>Isabela, PR</v>
      </c>
      <c r="D19" t="str">
        <f>"514 - 5"</f>
        <v>514 - 5</v>
      </c>
      <c r="E19" t="str">
        <f>"496 - 2"</f>
        <v>496 - 2</v>
      </c>
      <c r="F19" t="str">
        <f>"1,010 - 7"</f>
        <v>1,010 - 7</v>
      </c>
    </row>
    <row r="20" spans="1:6" x14ac:dyDescent="0.25">
      <c r="A20">
        <v>16</v>
      </c>
      <c r="B20" t="str">
        <f>"Varadi, Kathy (118981)"</f>
        <v>Varadi, Kathy (118981)</v>
      </c>
      <c r="C20" t="str">
        <f>"Savannah, GA"</f>
        <v>Savannah, GA</v>
      </c>
      <c r="D20" t="str">
        <f>"509 - 9"</f>
        <v>509 - 9</v>
      </c>
      <c r="E20" t="str">
        <f>"500 - 6"</f>
        <v>500 - 6</v>
      </c>
      <c r="F20" t="str">
        <f>"1,009 - 15"</f>
        <v>1,009 - 15</v>
      </c>
    </row>
    <row r="21" spans="1:6" x14ac:dyDescent="0.25">
      <c r="A21">
        <v>17</v>
      </c>
      <c r="B21" t="str">
        <f>"Churina, Raisa (385643)"</f>
        <v>Churina, Raisa (385643)</v>
      </c>
      <c r="C21" t="str">
        <f>"Bloomfield, MI"</f>
        <v>Bloomfield, MI</v>
      </c>
      <c r="D21" t="str">
        <f>"508 - 6"</f>
        <v>508 - 6</v>
      </c>
      <c r="E21" t="str">
        <f>"489 - 1"</f>
        <v>489 - 1</v>
      </c>
      <c r="F21" t="str">
        <f>"997 - 7"</f>
        <v>997 - 7</v>
      </c>
    </row>
    <row r="22" spans="1:6" x14ac:dyDescent="0.25">
      <c r="A22">
        <v>18</v>
      </c>
      <c r="B22" t="str">
        <f>"Fixler, Traci (477708)"</f>
        <v>Fixler, Traci (477708)</v>
      </c>
      <c r="C22" t="str">
        <f>"Alva, FL"</f>
        <v>Alva, FL</v>
      </c>
      <c r="D22" t="str">
        <f>"489 - 2"</f>
        <v>489 - 2</v>
      </c>
      <c r="E22" t="str">
        <f>"480 - 4"</f>
        <v>480 - 4</v>
      </c>
      <c r="F22" t="str">
        <f>"969 - 6"</f>
        <v>969 - 6</v>
      </c>
    </row>
    <row r="23" spans="1:6" x14ac:dyDescent="0.25">
      <c r="A23">
        <v>19</v>
      </c>
      <c r="B23" t="str">
        <f>"Slosnerick, Jackie (95168)"</f>
        <v>Slosnerick, Jackie (95168)</v>
      </c>
      <c r="C23" t="str">
        <f>"Oak Harbor, OH"</f>
        <v>Oak Harbor, OH</v>
      </c>
      <c r="D23" t="str">
        <f>"462 - 2"</f>
        <v>462 - 2</v>
      </c>
      <c r="E23" t="str">
        <f>"446 - 3"</f>
        <v>446 - 3</v>
      </c>
      <c r="F23" t="str">
        <f>"908 - 5"</f>
        <v>908 - 5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D857-1773-4096-A9A9-D053F7A9E56D}">
  <dimension ref="A1:T26"/>
  <sheetViews>
    <sheetView workbookViewId="0">
      <selection activeCell="Y30" sqref="Y30"/>
    </sheetView>
  </sheetViews>
  <sheetFormatPr defaultRowHeight="15" x14ac:dyDescent="0.25"/>
  <cols>
    <col min="1" max="1" width="34.140625" bestFit="1" customWidth="1"/>
    <col min="2" max="2" width="24.7109375" bestFit="1" customWidth="1"/>
    <col min="3" max="3" width="18.42578125" bestFit="1" customWidth="1"/>
  </cols>
  <sheetData>
    <row r="1" spans="1:20" x14ac:dyDescent="0.25">
      <c r="A1" t="str">
        <f>"2024 USAS Winter Air Gun Camp Perry"</f>
        <v>2024 USAS Winter Air Gun Camp Perry</v>
      </c>
    </row>
    <row r="2" spans="1:20" x14ac:dyDescent="0.25">
      <c r="A2" t="str">
        <f>"Open Pistol Finals - Women"</f>
        <v>Open Pistol Finals - Women</v>
      </c>
    </row>
    <row r="3" spans="1:20" x14ac:dyDescent="0.25">
      <c r="A3" t="str">
        <f>""</f>
        <v/>
      </c>
    </row>
    <row r="4" spans="1:20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"ISSF Final, First 5 Shot Stage"</f>
        <v>ISSF Final, First 5 Shot Stage</v>
      </c>
      <c r="E4" t="str">
        <f>"ISSF Final, Second 5 Shot"</f>
        <v>ISSF Final, Second 5 Shot</v>
      </c>
      <c r="F4" t="str">
        <f>"ISSF Final, First 2 Shot"</f>
        <v>ISSF Final, First 2 Shot</v>
      </c>
      <c r="G4" t="str">
        <f>"ISSF Final, Shootoff after F3"</f>
        <v>ISSF Final, Shootoff after F3</v>
      </c>
      <c r="H4" t="str">
        <f>"ISSF Final, Second 2 Shot"</f>
        <v>ISSF Final, Second 2 Shot</v>
      </c>
      <c r="I4" t="str">
        <f>"ISSF Final, Shootoff after F4"</f>
        <v>ISSF Final, Shootoff after F4</v>
      </c>
      <c r="J4" t="str">
        <f>"ISSF Final, Third 2 Shot"</f>
        <v>ISSF Final, Third 2 Shot</v>
      </c>
      <c r="K4" t="str">
        <f>"ISSF Final, Shootoff after F5"</f>
        <v>ISSF Final, Shootoff after F5</v>
      </c>
      <c r="L4" t="str">
        <f>"ISSF Final, Fourth 2 Shot"</f>
        <v>ISSF Final, Fourth 2 Shot</v>
      </c>
      <c r="M4" t="str">
        <f>"ISSF Final, Shootoff after F6"</f>
        <v>ISSF Final, Shootoff after F6</v>
      </c>
      <c r="N4" t="str">
        <f>"ISSF Final, Fifth 2 Shot"</f>
        <v>ISSF Final, Fifth 2 Shot</v>
      </c>
      <c r="O4" t="str">
        <f>"ISSF Final, Shootoff after F7"</f>
        <v>ISSF Final, Shootoff after F7</v>
      </c>
      <c r="P4" t="str">
        <f>"ISSF Final, Sixth 2 Shot"</f>
        <v>ISSF Final, Sixth 2 Shot</v>
      </c>
      <c r="Q4" t="str">
        <f>"ISSF Final, Shootoff after F8"</f>
        <v>ISSF Final, Shootoff after F8</v>
      </c>
      <c r="R4" t="str">
        <f>"ISSF Final, Seventh 2 Shot"</f>
        <v>ISSF Final, Seventh 2 Shot</v>
      </c>
      <c r="S4" t="str">
        <f>"ISSF Final, Shootoff after F9"</f>
        <v>ISSF Final, Shootoff after F9</v>
      </c>
      <c r="T4" t="str">
        <f>"Aggregate"</f>
        <v>Aggregate</v>
      </c>
    </row>
    <row r="5" spans="1:20" x14ac:dyDescent="0.25">
      <c r="A5">
        <v>1</v>
      </c>
      <c r="B5" t="str">
        <f>"Sanghera, Suman (346247)"</f>
        <v>Sanghera, Suman (346247)</v>
      </c>
      <c r="C5" t="str">
        <f>"Great Falls, VA"</f>
        <v>Great Falls, VA</v>
      </c>
      <c r="D5" t="str">
        <f>"49.7"</f>
        <v>49.7</v>
      </c>
      <c r="E5" t="str">
        <f>"48.6"</f>
        <v>48.6</v>
      </c>
      <c r="F5" t="str">
        <f>"19.0"</f>
        <v>19.0</v>
      </c>
      <c r="G5" t="str">
        <f>"18.9"</f>
        <v>18.9</v>
      </c>
      <c r="H5" t="str">
        <f>"20.5"</f>
        <v>20.5</v>
      </c>
      <c r="I5" t="str">
        <f>""</f>
        <v/>
      </c>
      <c r="J5" t="str">
        <f>"19.5"</f>
        <v>19.5</v>
      </c>
      <c r="K5" t="str">
        <f>""</f>
        <v/>
      </c>
      <c r="L5" t="str">
        <f>"19.2"</f>
        <v>19.2</v>
      </c>
      <c r="M5" t="str">
        <f>""</f>
        <v/>
      </c>
      <c r="N5" t="str">
        <f>"19.8"</f>
        <v>19.8</v>
      </c>
      <c r="O5" t="str">
        <f>""</f>
        <v/>
      </c>
      <c r="P5" t="str">
        <f>""</f>
        <v/>
      </c>
      <c r="Q5" t="str">
        <f>""</f>
        <v/>
      </c>
      <c r="R5" t="str">
        <f>"20.6"</f>
        <v>20.6</v>
      </c>
      <c r="S5" t="str">
        <f>""</f>
        <v/>
      </c>
      <c r="T5" t="str">
        <f>"216.9"</f>
        <v>216.9</v>
      </c>
    </row>
    <row r="6" spans="1:20" x14ac:dyDescent="0.25">
      <c r="A6">
        <v>2</v>
      </c>
      <c r="B6" t="str">
        <f>"Korkhin, Ada (327592)"</f>
        <v>Korkhin, Ada (327592)</v>
      </c>
      <c r="C6" t="str">
        <f>"BROOKLINE, MA"</f>
        <v>BROOKLINE, MA</v>
      </c>
      <c r="D6" t="str">
        <f>"48.1"</f>
        <v>48.1</v>
      </c>
      <c r="E6" t="str">
        <f>"47.3"</f>
        <v>47.3</v>
      </c>
      <c r="F6" t="str">
        <f>"18.9"</f>
        <v>18.9</v>
      </c>
      <c r="G6" t="str">
        <f>"19.1"</f>
        <v>19.1</v>
      </c>
      <c r="H6" t="str">
        <f>"19.4"</f>
        <v>19.4</v>
      </c>
      <c r="I6" t="str">
        <f>""</f>
        <v/>
      </c>
      <c r="J6" t="str">
        <f>"20.2"</f>
        <v>20.2</v>
      </c>
      <c r="K6" t="str">
        <f>""</f>
        <v/>
      </c>
      <c r="L6" t="str">
        <f>"19.6"</f>
        <v>19.6</v>
      </c>
      <c r="M6" t="str">
        <f>""</f>
        <v/>
      </c>
      <c r="N6" t="str">
        <f>"20.8"</f>
        <v>20.8</v>
      </c>
      <c r="O6" t="str">
        <f>""</f>
        <v/>
      </c>
      <c r="P6" t="str">
        <f>""</f>
        <v/>
      </c>
      <c r="Q6" t="str">
        <f>""</f>
        <v/>
      </c>
      <c r="R6" t="str">
        <f>"20.6"</f>
        <v>20.6</v>
      </c>
      <c r="S6" t="str">
        <f>""</f>
        <v/>
      </c>
      <c r="T6" t="str">
        <f>"214.9"</f>
        <v>214.9</v>
      </c>
    </row>
    <row r="7" spans="1:20" x14ac:dyDescent="0.25">
      <c r="A7">
        <v>3</v>
      </c>
      <c r="B7" t="str">
        <f>"Allan, Eva (487564)"</f>
        <v>Allan, Eva (487564)</v>
      </c>
      <c r="C7" t="str">
        <f>"Mooresville, NC"</f>
        <v>Mooresville, NC</v>
      </c>
      <c r="D7" t="str">
        <f>"47.5"</f>
        <v>47.5</v>
      </c>
      <c r="E7" t="str">
        <f>"46.5"</f>
        <v>46.5</v>
      </c>
      <c r="F7" t="str">
        <f>"17.4"</f>
        <v>17.4</v>
      </c>
      <c r="G7" t="str">
        <f>""</f>
        <v/>
      </c>
      <c r="H7" t="str">
        <f>"20.4"</f>
        <v>20.4</v>
      </c>
      <c r="I7" t="str">
        <f>""</f>
        <v/>
      </c>
      <c r="J7" t="str">
        <f>"20.1"</f>
        <v>20.1</v>
      </c>
      <c r="K7" t="str">
        <f>""</f>
        <v/>
      </c>
      <c r="L7" t="str">
        <f>"19.2"</f>
        <v>19.2</v>
      </c>
      <c r="M7" t="str">
        <f>""</f>
        <v/>
      </c>
      <c r="N7" t="str">
        <f>"19.1"</f>
        <v>19.1</v>
      </c>
      <c r="O7" t="str">
        <f>""</f>
        <v/>
      </c>
      <c r="P7" t="str">
        <f>""</f>
        <v/>
      </c>
      <c r="Q7" t="str">
        <f>""</f>
        <v/>
      </c>
      <c r="R7" t="str">
        <f>"18.7"</f>
        <v>18.7</v>
      </c>
      <c r="S7" t="str">
        <f>""</f>
        <v/>
      </c>
      <c r="T7" t="str">
        <f>"208.9"</f>
        <v>208.9</v>
      </c>
    </row>
    <row r="8" spans="1:20" x14ac:dyDescent="0.25">
      <c r="A8">
        <v>4</v>
      </c>
      <c r="B8" t="str">
        <f>"Deokule, Anjali (400379)"</f>
        <v>Deokule, Anjali (400379)</v>
      </c>
      <c r="C8" t="str">
        <f>"Lutz, FL"</f>
        <v>Lutz, FL</v>
      </c>
      <c r="D8" t="str">
        <f>"46.7"</f>
        <v>46.7</v>
      </c>
      <c r="E8" t="str">
        <f>"49.0"</f>
        <v>49.0</v>
      </c>
      <c r="F8" t="str">
        <f>"18.0"</f>
        <v>18.0</v>
      </c>
      <c r="G8" t="str">
        <f>""</f>
        <v/>
      </c>
      <c r="H8" t="str">
        <f>"19.3"</f>
        <v>19.3</v>
      </c>
      <c r="I8" t="str">
        <f>""</f>
        <v/>
      </c>
      <c r="J8" t="str">
        <f>"17.9"</f>
        <v>17.9</v>
      </c>
      <c r="K8" t="str">
        <f>""</f>
        <v/>
      </c>
      <c r="L8" t="str">
        <f>"19.1"</f>
        <v>19.1</v>
      </c>
      <c r="M8" t="str">
        <f>""</f>
        <v/>
      </c>
      <c r="N8" t="str">
        <f>"19.1"</f>
        <v>19.1</v>
      </c>
      <c r="O8" t="str">
        <f>""</f>
        <v/>
      </c>
      <c r="P8" t="str">
        <f>""</f>
        <v/>
      </c>
      <c r="Q8" t="str">
        <f>""</f>
        <v/>
      </c>
      <c r="R8" t="str">
        <f>""</f>
        <v/>
      </c>
      <c r="S8" t="str">
        <f>""</f>
        <v/>
      </c>
      <c r="T8" t="str">
        <f>"189.1"</f>
        <v>189.1</v>
      </c>
    </row>
    <row r="9" spans="1:20" x14ac:dyDescent="0.25">
      <c r="A9">
        <v>5</v>
      </c>
      <c r="B9" t="str">
        <f>"Dickey, Ariana (487572)"</f>
        <v>Dickey, Ariana (487572)</v>
      </c>
      <c r="C9" t="str">
        <f>"North Potomac, MD"</f>
        <v>North Potomac, MD</v>
      </c>
      <c r="D9" t="str">
        <f>"45.6"</f>
        <v>45.6</v>
      </c>
      <c r="E9" t="str">
        <f>"44.8"</f>
        <v>44.8</v>
      </c>
      <c r="F9" t="str">
        <f>"19.6"</f>
        <v>19.6</v>
      </c>
      <c r="G9" t="str">
        <f>""</f>
        <v/>
      </c>
      <c r="H9" t="str">
        <f>"20.0"</f>
        <v>20.0</v>
      </c>
      <c r="I9" t="str">
        <f>""</f>
        <v/>
      </c>
      <c r="J9" t="str">
        <f>"19.2"</f>
        <v>19.2</v>
      </c>
      <c r="K9" t="str">
        <f>""</f>
        <v/>
      </c>
      <c r="L9" t="str">
        <f>"20.0"</f>
        <v>20.0</v>
      </c>
      <c r="M9" t="str">
        <f>""</f>
        <v/>
      </c>
      <c r="N9" t="str">
        <f>""</f>
        <v/>
      </c>
      <c r="O9" t="str">
        <f>""</f>
        <v/>
      </c>
      <c r="P9" t="str">
        <f>""</f>
        <v/>
      </c>
      <c r="Q9" t="str">
        <f>""</f>
        <v/>
      </c>
      <c r="R9" t="str">
        <f>""</f>
        <v/>
      </c>
      <c r="S9" t="str">
        <f>""</f>
        <v/>
      </c>
      <c r="T9" t="str">
        <f>"169.2"</f>
        <v>169.2</v>
      </c>
    </row>
    <row r="10" spans="1:20" x14ac:dyDescent="0.25">
      <c r="A10">
        <v>6</v>
      </c>
      <c r="B10" t="str">
        <f>"Mueller, Leah (400392)"</f>
        <v>Mueller, Leah (400392)</v>
      </c>
      <c r="C10" t="str">
        <f>"Iola, KS"</f>
        <v>Iola, KS</v>
      </c>
      <c r="D10" t="str">
        <f>"47.4"</f>
        <v>47.4</v>
      </c>
      <c r="E10" t="str">
        <f>"46.2"</f>
        <v>46.2</v>
      </c>
      <c r="F10" t="str">
        <f>"19.3"</f>
        <v>19.3</v>
      </c>
      <c r="G10" t="str">
        <f>""</f>
        <v/>
      </c>
      <c r="H10" t="str">
        <f>"18.5"</f>
        <v>18.5</v>
      </c>
      <c r="I10" t="str">
        <f>""</f>
        <v/>
      </c>
      <c r="J10" t="str">
        <f>"17.1"</f>
        <v>17.1</v>
      </c>
      <c r="K10" t="str">
        <f>""</f>
        <v/>
      </c>
      <c r="L10" t="str">
        <f>""</f>
        <v/>
      </c>
      <c r="M10" t="str">
        <f>""</f>
        <v/>
      </c>
      <c r="N10" t="str">
        <f>""</f>
        <v/>
      </c>
      <c r="O10" t="str">
        <f>""</f>
        <v/>
      </c>
      <c r="P10" t="str">
        <f>""</f>
        <v/>
      </c>
      <c r="Q10" t="str">
        <f>""</f>
        <v/>
      </c>
      <c r="R10" t="str">
        <f>""</f>
        <v/>
      </c>
      <c r="S10" t="str">
        <f>""</f>
        <v/>
      </c>
      <c r="T10" t="str">
        <f>"148.5"</f>
        <v>148.5</v>
      </c>
    </row>
    <row r="11" spans="1:20" x14ac:dyDescent="0.25">
      <c r="A11">
        <v>7</v>
      </c>
      <c r="B11" t="str">
        <f>"Deokule, Ankita (400381)"</f>
        <v>Deokule, Ankita (400381)</v>
      </c>
      <c r="C11" t="str">
        <f>"Lutz, FL"</f>
        <v>Lutz, FL</v>
      </c>
      <c r="D11" t="str">
        <f>"41.7"</f>
        <v>41.7</v>
      </c>
      <c r="E11" t="str">
        <f>"48.6"</f>
        <v>48.6</v>
      </c>
      <c r="F11" t="str">
        <f>"19.0"</f>
        <v>19.0</v>
      </c>
      <c r="G11" t="str">
        <f>""</f>
        <v/>
      </c>
      <c r="H11" t="str">
        <f>"18.9"</f>
        <v>18.9</v>
      </c>
      <c r="I11" t="str">
        <f>""</f>
        <v/>
      </c>
      <c r="J11" t="str">
        <f>""</f>
        <v/>
      </c>
      <c r="K11" t="str">
        <f>""</f>
        <v/>
      </c>
      <c r="L11" t="str">
        <f>""</f>
        <v/>
      </c>
      <c r="M11" t="str">
        <f>""</f>
        <v/>
      </c>
      <c r="N11" t="str">
        <f>""</f>
        <v/>
      </c>
      <c r="O11" t="str">
        <f>""</f>
        <v/>
      </c>
      <c r="P11" t="str">
        <f>""</f>
        <v/>
      </c>
      <c r="Q11" t="str">
        <f>""</f>
        <v/>
      </c>
      <c r="R11" t="str">
        <f>""</f>
        <v/>
      </c>
      <c r="S11" t="str">
        <f>""</f>
        <v/>
      </c>
      <c r="T11" t="str">
        <f>"128.2"</f>
        <v>128.2</v>
      </c>
    </row>
    <row r="12" spans="1:20" x14ac:dyDescent="0.25">
      <c r="A12">
        <v>8</v>
      </c>
      <c r="B12" t="str">
        <f>"Ganstooj, Maral (431669)"</f>
        <v>Ganstooj, Maral (431669)</v>
      </c>
      <c r="C12" t="str">
        <f>"Schaumburg, IL"</f>
        <v>Schaumburg, IL</v>
      </c>
      <c r="D12" t="str">
        <f>"46.0"</f>
        <v>46.0</v>
      </c>
      <c r="E12" t="str">
        <f>"45.9"</f>
        <v>45.9</v>
      </c>
      <c r="F12" t="str">
        <f>"16.5"</f>
        <v>16.5</v>
      </c>
      <c r="G12" t="str">
        <f>""</f>
        <v/>
      </c>
      <c r="H12" t="str">
        <f>""</f>
        <v/>
      </c>
      <c r="I12" t="str">
        <f>""</f>
        <v/>
      </c>
      <c r="J12" t="str">
        <f>""</f>
        <v/>
      </c>
      <c r="K12" t="str">
        <f>""</f>
        <v/>
      </c>
      <c r="L12" t="str">
        <f>""</f>
        <v/>
      </c>
      <c r="M12" t="str">
        <f>""</f>
        <v/>
      </c>
      <c r="N12" t="str">
        <f>""</f>
        <v/>
      </c>
      <c r="O12" t="str">
        <f>""</f>
        <v/>
      </c>
      <c r="P12" t="str">
        <f>""</f>
        <v/>
      </c>
      <c r="Q12" t="str">
        <f>""</f>
        <v/>
      </c>
      <c r="R12" t="str">
        <f>""</f>
        <v/>
      </c>
      <c r="S12" t="str">
        <f>""</f>
        <v/>
      </c>
      <c r="T12" t="str">
        <f>"108.4"</f>
        <v>108.4</v>
      </c>
    </row>
    <row r="15" spans="1:20" x14ac:dyDescent="0.25">
      <c r="A15" t="str">
        <f>"2024 USAS Winter Air Gun Camp Perry"</f>
        <v>2024 USAS Winter Air Gun Camp Perry</v>
      </c>
    </row>
    <row r="16" spans="1:20" x14ac:dyDescent="0.25">
      <c r="A16" t="str">
        <f>"Junior Pistol Finals - Women"</f>
        <v>Junior Pistol Finals - Women</v>
      </c>
    </row>
    <row r="17" spans="1:20" x14ac:dyDescent="0.25">
      <c r="A17" t="str">
        <f>""</f>
        <v/>
      </c>
    </row>
    <row r="18" spans="1:20" x14ac:dyDescent="0.25">
      <c r="A18" t="str">
        <f>"Place"</f>
        <v>Place</v>
      </c>
      <c r="B18" t="str">
        <f>"Competitor (Comp Num)"</f>
        <v>Competitor (Comp Num)</v>
      </c>
      <c r="C18" t="str">
        <f>"Hometown"</f>
        <v>Hometown</v>
      </c>
      <c r="D18" t="str">
        <f>"ISSF Final, First 5 Shot Stage"</f>
        <v>ISSF Final, First 5 Shot Stage</v>
      </c>
      <c r="E18" t="str">
        <f>"ISSF Final, Second 5 Shot"</f>
        <v>ISSF Final, Second 5 Shot</v>
      </c>
      <c r="F18" t="str">
        <f>"ISSF Final, First 2 Shot"</f>
        <v>ISSF Final, First 2 Shot</v>
      </c>
      <c r="G18" t="str">
        <f>"ISSF Final, Shootoff after F3"</f>
        <v>ISSF Final, Shootoff after F3</v>
      </c>
      <c r="H18" t="str">
        <f>"ISSF Final, Second 2 Shot"</f>
        <v>ISSF Final, Second 2 Shot</v>
      </c>
      <c r="I18" t="str">
        <f>"ISSF Final, Shootoff after F4"</f>
        <v>ISSF Final, Shootoff after F4</v>
      </c>
      <c r="J18" t="str">
        <f>"ISSF Final, Third 2 Shot"</f>
        <v>ISSF Final, Third 2 Shot</v>
      </c>
      <c r="K18" t="str">
        <f>"ISSF Final, Shootoff after F5"</f>
        <v>ISSF Final, Shootoff after F5</v>
      </c>
      <c r="L18" t="str">
        <f>"ISSF Final, Fourth 2 Shot"</f>
        <v>ISSF Final, Fourth 2 Shot</v>
      </c>
      <c r="M18" t="str">
        <f>"ISSF Final, Shootoff after F6"</f>
        <v>ISSF Final, Shootoff after F6</v>
      </c>
      <c r="N18" t="str">
        <f>"ISSF Final, Fifth 2 Shot"</f>
        <v>ISSF Final, Fifth 2 Shot</v>
      </c>
      <c r="O18" t="str">
        <f>"ISSF Final, Shootoff after F7"</f>
        <v>ISSF Final, Shootoff after F7</v>
      </c>
      <c r="P18" t="str">
        <f>"ISSF Final, Sixth 2 Shot"</f>
        <v>ISSF Final, Sixth 2 Shot</v>
      </c>
      <c r="Q18" t="str">
        <f>"ISSF Final, Shootoff after F8"</f>
        <v>ISSF Final, Shootoff after F8</v>
      </c>
      <c r="R18" t="str">
        <f>"ISSF Final, Seventh 2 Shot"</f>
        <v>ISSF Final, Seventh 2 Shot</v>
      </c>
      <c r="S18" t="str">
        <f>"ISSF Final, Shootoff after F9"</f>
        <v>ISSF Final, Shootoff after F9</v>
      </c>
      <c r="T18" t="str">
        <f>"Aggregate"</f>
        <v>Aggregate</v>
      </c>
    </row>
    <row r="19" spans="1:20" x14ac:dyDescent="0.25">
      <c r="A19">
        <v>1</v>
      </c>
      <c r="B19" t="str">
        <f>"Korkhin, Ada (327592)"</f>
        <v>Korkhin, Ada (327592)</v>
      </c>
      <c r="C19" t="str">
        <f>"BROOKLINE, MA"</f>
        <v>BROOKLINE, MA</v>
      </c>
      <c r="D19" t="str">
        <f>"50.9"</f>
        <v>50.9</v>
      </c>
      <c r="E19" t="str">
        <f>"50.1"</f>
        <v>50.1</v>
      </c>
      <c r="F19" t="str">
        <f>"19.5"</f>
        <v>19.5</v>
      </c>
      <c r="G19" t="str">
        <f>""</f>
        <v/>
      </c>
      <c r="H19" t="str">
        <f>"20.6"</f>
        <v>20.6</v>
      </c>
      <c r="I19" t="str">
        <f>""</f>
        <v/>
      </c>
      <c r="J19" t="str">
        <f>"19.6"</f>
        <v>19.6</v>
      </c>
      <c r="K19" t="str">
        <f>""</f>
        <v/>
      </c>
      <c r="L19" t="str">
        <f>"21.2"</f>
        <v>21.2</v>
      </c>
      <c r="M19" t="str">
        <f>""</f>
        <v/>
      </c>
      <c r="N19" t="str">
        <f>"19.2"</f>
        <v>19.2</v>
      </c>
      <c r="O19" t="str">
        <f>""</f>
        <v/>
      </c>
      <c r="P19" t="str">
        <f>"21.2"</f>
        <v>21.2</v>
      </c>
      <c r="Q19" t="str">
        <f>""</f>
        <v/>
      </c>
      <c r="R19" t="str">
        <f>"18.6"</f>
        <v>18.6</v>
      </c>
      <c r="S19" t="str">
        <f>""</f>
        <v/>
      </c>
      <c r="T19" t="str">
        <f>"240.9"</f>
        <v>240.9</v>
      </c>
    </row>
    <row r="20" spans="1:20" x14ac:dyDescent="0.25">
      <c r="A20">
        <v>2</v>
      </c>
      <c r="B20" t="str">
        <f>"Sanghera, Suman (346247)"</f>
        <v>Sanghera, Suman (346247)</v>
      </c>
      <c r="C20" t="str">
        <f>"Great Falls, VA"</f>
        <v>Great Falls, VA</v>
      </c>
      <c r="D20" t="str">
        <f>"49.8"</f>
        <v>49.8</v>
      </c>
      <c r="E20" t="str">
        <f>"50.3"</f>
        <v>50.3</v>
      </c>
      <c r="F20" t="str">
        <f>"20.3"</f>
        <v>20.3</v>
      </c>
      <c r="G20" t="str">
        <f>""</f>
        <v/>
      </c>
      <c r="H20" t="str">
        <f>"20.1"</f>
        <v>20.1</v>
      </c>
      <c r="I20" t="str">
        <f>""</f>
        <v/>
      </c>
      <c r="J20" t="str">
        <f>"19.9"</f>
        <v>19.9</v>
      </c>
      <c r="K20" t="str">
        <f>""</f>
        <v/>
      </c>
      <c r="L20" t="str">
        <f>"20.6"</f>
        <v>20.6</v>
      </c>
      <c r="M20" t="str">
        <f>""</f>
        <v/>
      </c>
      <c r="N20" t="str">
        <f>"19.3"</f>
        <v>19.3</v>
      </c>
      <c r="O20" t="str">
        <f>""</f>
        <v/>
      </c>
      <c r="P20" t="str">
        <f>"17.8"</f>
        <v>17.8</v>
      </c>
      <c r="Q20" t="str">
        <f>""</f>
        <v/>
      </c>
      <c r="R20" t="str">
        <f>"18.4"</f>
        <v>18.4</v>
      </c>
      <c r="S20" t="str">
        <f>""</f>
        <v/>
      </c>
      <c r="T20" t="str">
        <f>"236.5"</f>
        <v>236.5</v>
      </c>
    </row>
    <row r="21" spans="1:20" x14ac:dyDescent="0.25">
      <c r="A21">
        <v>3</v>
      </c>
      <c r="B21" t="str">
        <f>"Deokule, Ankita (400381)"</f>
        <v>Deokule, Ankita (400381)</v>
      </c>
      <c r="C21" t="str">
        <f>"Lutz, FL"</f>
        <v>Lutz, FL</v>
      </c>
      <c r="D21" t="str">
        <f>"46.5"</f>
        <v>46.5</v>
      </c>
      <c r="E21" t="str">
        <f>"49.4"</f>
        <v>49.4</v>
      </c>
      <c r="F21" t="str">
        <f>"17.9"</f>
        <v>17.9</v>
      </c>
      <c r="G21" t="str">
        <f>""</f>
        <v/>
      </c>
      <c r="H21" t="str">
        <f>"20.7"</f>
        <v>20.7</v>
      </c>
      <c r="I21" t="str">
        <f>""</f>
        <v/>
      </c>
      <c r="J21" t="str">
        <f>"19.4"</f>
        <v>19.4</v>
      </c>
      <c r="K21" t="str">
        <f>""</f>
        <v/>
      </c>
      <c r="L21" t="str">
        <f>"18.8"</f>
        <v>18.8</v>
      </c>
      <c r="M21" t="str">
        <f>""</f>
        <v/>
      </c>
      <c r="N21" t="str">
        <f>"19.6"</f>
        <v>19.6</v>
      </c>
      <c r="O21" t="str">
        <f>""</f>
        <v/>
      </c>
      <c r="P21" t="str">
        <f>"18.9"</f>
        <v>18.9</v>
      </c>
      <c r="Q21" t="str">
        <f>""</f>
        <v/>
      </c>
      <c r="R21" t="str">
        <f>""</f>
        <v/>
      </c>
      <c r="S21" t="str">
        <f>""</f>
        <v/>
      </c>
      <c r="T21" t="str">
        <f>"211.2"</f>
        <v>211.2</v>
      </c>
    </row>
    <row r="22" spans="1:20" x14ac:dyDescent="0.25">
      <c r="A22">
        <v>4</v>
      </c>
      <c r="B22" t="str">
        <f>"Ganstooj, Maral (431669)"</f>
        <v>Ganstooj, Maral (431669)</v>
      </c>
      <c r="C22" t="str">
        <f>"Schaumburg, IL"</f>
        <v>Schaumburg, IL</v>
      </c>
      <c r="D22" t="str">
        <f>"50.1"</f>
        <v>50.1</v>
      </c>
      <c r="E22" t="str">
        <f>"48.2"</f>
        <v>48.2</v>
      </c>
      <c r="F22" t="str">
        <f>"18.3"</f>
        <v>18.3</v>
      </c>
      <c r="G22" t="str">
        <f>""</f>
        <v/>
      </c>
      <c r="H22" t="str">
        <f>"16.9"</f>
        <v>16.9</v>
      </c>
      <c r="I22" t="str">
        <f>""</f>
        <v/>
      </c>
      <c r="J22" t="str">
        <f>"18.7"</f>
        <v>18.7</v>
      </c>
      <c r="K22" t="str">
        <f>""</f>
        <v/>
      </c>
      <c r="L22" t="str">
        <f>"18.9"</f>
        <v>18.9</v>
      </c>
      <c r="M22" t="str">
        <f>""</f>
        <v/>
      </c>
      <c r="N22" t="str">
        <f>"18.7"</f>
        <v>18.7</v>
      </c>
      <c r="O22" t="str">
        <f>""</f>
        <v/>
      </c>
      <c r="P22" t="str">
        <f>""</f>
        <v/>
      </c>
      <c r="Q22" t="str">
        <f>""</f>
        <v/>
      </c>
      <c r="R22" t="str">
        <f>""</f>
        <v/>
      </c>
      <c r="S22" t="str">
        <f>""</f>
        <v/>
      </c>
      <c r="T22" t="str">
        <f>"189.8"</f>
        <v>189.8</v>
      </c>
    </row>
    <row r="23" spans="1:20" x14ac:dyDescent="0.25">
      <c r="A23">
        <v>5</v>
      </c>
      <c r="B23" t="str">
        <f>"Deokule, Anjali (400379)"</f>
        <v>Deokule, Anjali (400379)</v>
      </c>
      <c r="C23" t="str">
        <f>"Lutz, FL"</f>
        <v>Lutz, FL</v>
      </c>
      <c r="D23" t="str">
        <f>"48.4"</f>
        <v>48.4</v>
      </c>
      <c r="E23" t="str">
        <f>"47.6"</f>
        <v>47.6</v>
      </c>
      <c r="F23" t="str">
        <f>"18.7"</f>
        <v>18.7</v>
      </c>
      <c r="G23" t="str">
        <f>""</f>
        <v/>
      </c>
      <c r="H23" t="str">
        <f>"20.6"</f>
        <v>20.6</v>
      </c>
      <c r="I23" t="str">
        <f>""</f>
        <v/>
      </c>
      <c r="J23" t="str">
        <f>"18.0"</f>
        <v>18.0</v>
      </c>
      <c r="K23" t="str">
        <f>""</f>
        <v/>
      </c>
      <c r="L23" t="str">
        <f>"17.2"</f>
        <v>17.2</v>
      </c>
      <c r="M23" t="str">
        <f>""</f>
        <v/>
      </c>
      <c r="N23" t="str">
        <f>""</f>
        <v/>
      </c>
      <c r="O23" t="str">
        <f>""</f>
        <v/>
      </c>
      <c r="P23" t="str">
        <f>""</f>
        <v/>
      </c>
      <c r="Q23" t="str">
        <f>""</f>
        <v/>
      </c>
      <c r="R23" t="str">
        <f>""</f>
        <v/>
      </c>
      <c r="S23" t="str">
        <f>""</f>
        <v/>
      </c>
      <c r="T23" t="str">
        <f>"170.5"</f>
        <v>170.5</v>
      </c>
    </row>
    <row r="24" spans="1:20" x14ac:dyDescent="0.25">
      <c r="A24">
        <v>6</v>
      </c>
      <c r="B24" t="str">
        <f>"Mueller, Leah (400392)"</f>
        <v>Mueller, Leah (400392)</v>
      </c>
      <c r="C24" t="str">
        <f>"Iola, KS"</f>
        <v>Iola, KS</v>
      </c>
      <c r="D24" t="str">
        <f>"45.1"</f>
        <v>45.1</v>
      </c>
      <c r="E24" t="str">
        <f>"46.5"</f>
        <v>46.5</v>
      </c>
      <c r="F24" t="str">
        <f>"18.2"</f>
        <v>18.2</v>
      </c>
      <c r="G24" t="str">
        <f>""</f>
        <v/>
      </c>
      <c r="H24" t="str">
        <f>"19.2"</f>
        <v>19.2</v>
      </c>
      <c r="I24" t="str">
        <f>""</f>
        <v/>
      </c>
      <c r="J24" t="str">
        <f>"17.2"</f>
        <v>17.2</v>
      </c>
      <c r="K24" t="str">
        <f>""</f>
        <v/>
      </c>
      <c r="L24" t="str">
        <f>""</f>
        <v/>
      </c>
      <c r="M24" t="str">
        <f>""</f>
        <v/>
      </c>
      <c r="N24" t="str">
        <f>""</f>
        <v/>
      </c>
      <c r="O24" t="str">
        <f>""</f>
        <v/>
      </c>
      <c r="P24" t="str">
        <f>""</f>
        <v/>
      </c>
      <c r="Q24" t="str">
        <f>""</f>
        <v/>
      </c>
      <c r="R24" t="str">
        <f>""</f>
        <v/>
      </c>
      <c r="S24" t="str">
        <f>""</f>
        <v/>
      </c>
      <c r="T24" t="str">
        <f>"146.2"</f>
        <v>146.2</v>
      </c>
    </row>
    <row r="25" spans="1:20" x14ac:dyDescent="0.25">
      <c r="A25">
        <v>7</v>
      </c>
      <c r="B25" t="str">
        <f>"Allan, Eva (487564)"</f>
        <v>Allan, Eva (487564)</v>
      </c>
      <c r="C25" t="str">
        <f>"Mooresville, NC"</f>
        <v>Mooresville, NC</v>
      </c>
      <c r="D25" t="str">
        <f>"45.3"</f>
        <v>45.3</v>
      </c>
      <c r="E25" t="str">
        <f>"46.3"</f>
        <v>46.3</v>
      </c>
      <c r="F25" t="str">
        <f>"18.7"</f>
        <v>18.7</v>
      </c>
      <c r="G25" t="str">
        <f>""</f>
        <v/>
      </c>
      <c r="H25" t="str">
        <f>"18.5"</f>
        <v>18.5</v>
      </c>
      <c r="I25" t="str">
        <f>""</f>
        <v/>
      </c>
      <c r="J25" t="str">
        <f>""</f>
        <v/>
      </c>
      <c r="K25" t="str">
        <f>""</f>
        <v/>
      </c>
      <c r="L25" t="str">
        <f>""</f>
        <v/>
      </c>
      <c r="M25" t="str">
        <f>""</f>
        <v/>
      </c>
      <c r="N25" t="str">
        <f>""</f>
        <v/>
      </c>
      <c r="O25" t="str">
        <f>""</f>
        <v/>
      </c>
      <c r="P25" t="str">
        <f>""</f>
        <v/>
      </c>
      <c r="Q25" t="str">
        <f>""</f>
        <v/>
      </c>
      <c r="R25" t="str">
        <f>""</f>
        <v/>
      </c>
      <c r="S25" t="str">
        <f>""</f>
        <v/>
      </c>
      <c r="T25" t="str">
        <f>"128.8"</f>
        <v>128.8</v>
      </c>
    </row>
    <row r="26" spans="1:20" x14ac:dyDescent="0.25">
      <c r="A26">
        <v>8</v>
      </c>
      <c r="B26" t="str">
        <f>"Dickey, Ariana (487572)"</f>
        <v>Dickey, Ariana (487572)</v>
      </c>
      <c r="C26" t="str">
        <f>"North Potomac, MD"</f>
        <v>North Potomac, MD</v>
      </c>
      <c r="D26" t="str">
        <f>"46.3"</f>
        <v>46.3</v>
      </c>
      <c r="E26" t="str">
        <f>"43.8"</f>
        <v>43.8</v>
      </c>
      <c r="F26" t="str">
        <f>"18.1"</f>
        <v>18.1</v>
      </c>
      <c r="G26" t="str">
        <f>""</f>
        <v/>
      </c>
      <c r="H26" t="str">
        <f>""</f>
        <v/>
      </c>
      <c r="I26" t="str">
        <f>""</f>
        <v/>
      </c>
      <c r="J26" t="str">
        <f>""</f>
        <v/>
      </c>
      <c r="K26" t="str">
        <f>""</f>
        <v/>
      </c>
      <c r="L26" t="str">
        <f>""</f>
        <v/>
      </c>
      <c r="M26" t="str">
        <f>""</f>
        <v/>
      </c>
      <c r="N26" t="str">
        <f>""</f>
        <v/>
      </c>
      <c r="O26" t="str">
        <f>""</f>
        <v/>
      </c>
      <c r="P26" t="str">
        <f>""</f>
        <v/>
      </c>
      <c r="Q26" t="str">
        <f>""</f>
        <v/>
      </c>
      <c r="R26" t="str">
        <f>""</f>
        <v/>
      </c>
      <c r="S26" t="str">
        <f>""</f>
        <v/>
      </c>
      <c r="T26" t="str">
        <f>"108.2"</f>
        <v>108.2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F043-EE4E-4262-B512-E6C1B9AE3082}">
  <dimension ref="A1:F32"/>
  <sheetViews>
    <sheetView workbookViewId="0">
      <selection activeCell="D1" sqref="D1:D1048576"/>
    </sheetView>
  </sheetViews>
  <sheetFormatPr defaultRowHeight="15" x14ac:dyDescent="0.25"/>
  <cols>
    <col min="1" max="1" width="34.140625" bestFit="1" customWidth="1"/>
    <col min="2" max="2" width="31.28515625" bestFit="1" customWidth="1"/>
    <col min="3" max="3" width="16.7109375" bestFit="1" customWidth="1"/>
    <col min="4" max="4" width="7.5703125" bestFit="1" customWidth="1"/>
    <col min="5" max="5" width="11.140625" bestFit="1" customWidth="1"/>
    <col min="6" max="6" width="9.5703125" bestFit="1" customWidth="1"/>
  </cols>
  <sheetData>
    <row r="1" spans="1:6" x14ac:dyDescent="0.25">
      <c r="A1" t="str">
        <f>"2024 USAS Winter Air Gun Camp Perry"</f>
        <v>2024 USAS Winter Air Gun Camp Perry</v>
      </c>
    </row>
    <row r="2" spans="1:6" x14ac:dyDescent="0.25">
      <c r="A2" t="str">
        <f>"Open Qualification - Men"</f>
        <v>Open Qualification - Men</v>
      </c>
    </row>
    <row r="3" spans="1:6" x14ac:dyDescent="0.25">
      <c r="A3" t="str">
        <f>""</f>
        <v/>
      </c>
    </row>
    <row r="4" spans="1:6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"D1 60 P"</f>
        <v>D1 60 P</v>
      </c>
      <c r="E4" t="str">
        <f>"D2 60 Pistol"</f>
        <v>D2 60 Pistol</v>
      </c>
      <c r="F4" t="str">
        <f>"Aggregate"</f>
        <v>Aggregate</v>
      </c>
    </row>
    <row r="5" spans="1:6" x14ac:dyDescent="0.25">
      <c r="A5">
        <v>1</v>
      </c>
      <c r="B5" t="str">
        <f>"Klemp, Marcus (335048)"</f>
        <v>Klemp, Marcus (335048)</v>
      </c>
      <c r="C5" t="str">
        <f>"Missoula, MT"</f>
        <v>Missoula, MT</v>
      </c>
      <c r="D5" t="str">
        <f>"570 - 21"</f>
        <v>570 - 21</v>
      </c>
      <c r="E5" t="str">
        <f>"569 - 12"</f>
        <v>569 - 12</v>
      </c>
      <c r="F5" t="str">
        <f>"1,139 - 33"</f>
        <v>1,139 - 33</v>
      </c>
    </row>
    <row r="6" spans="1:6" x14ac:dyDescent="0.25">
      <c r="A6">
        <v>2</v>
      </c>
      <c r="B6" t="str">
        <f>"Hall, James (29)"</f>
        <v>Hall, James (29)</v>
      </c>
      <c r="C6" t="str">
        <f>"Rocheport, MO"</f>
        <v>Rocheport, MO</v>
      </c>
      <c r="D6" t="str">
        <f>"572 - 12"</f>
        <v>572 - 12</v>
      </c>
      <c r="E6" t="str">
        <f>"562 - 8"</f>
        <v>562 - 8</v>
      </c>
      <c r="F6" t="str">
        <f>"1,134 - 20"</f>
        <v>1,134 - 20</v>
      </c>
    </row>
    <row r="7" spans="1:6" x14ac:dyDescent="0.25">
      <c r="A7">
        <v>3</v>
      </c>
      <c r="B7" t="str">
        <f>"Lutz, Anthony (19476)"</f>
        <v>Lutz, Anthony (19476)</v>
      </c>
      <c r="C7" t="str">
        <f>"Orient, OH"</f>
        <v>Orient, OH</v>
      </c>
      <c r="D7" t="str">
        <f>"567 - 17"</f>
        <v>567 - 17</v>
      </c>
      <c r="E7" t="str">
        <f>"563 - 13"</f>
        <v>563 - 13</v>
      </c>
      <c r="F7" t="str">
        <f>"1,130 - 30"</f>
        <v>1,130 - 30</v>
      </c>
    </row>
    <row r="8" spans="1:6" x14ac:dyDescent="0.25">
      <c r="A8">
        <v>4</v>
      </c>
      <c r="B8" t="str">
        <f>"Kish, John (86735)"</f>
        <v>Kish, John (86735)</v>
      </c>
      <c r="C8" t="str">
        <f>"West Chicago, IL"</f>
        <v>West Chicago, IL</v>
      </c>
      <c r="D8" t="str">
        <f>"556 - 13"</f>
        <v>556 - 13</v>
      </c>
      <c r="E8" t="str">
        <f>"561 - 11"</f>
        <v>561 - 11</v>
      </c>
      <c r="F8" t="str">
        <f>"1,117 - 24"</f>
        <v>1,117 - 24</v>
      </c>
    </row>
    <row r="9" spans="1:6" x14ac:dyDescent="0.25">
      <c r="A9">
        <v>5</v>
      </c>
      <c r="B9" t="str">
        <f>"Bagasra, Ammar (416308)"</f>
        <v>Bagasra, Ammar (416308)</v>
      </c>
      <c r="C9" t="str">
        <f>"Concord, MA"</f>
        <v>Concord, MA</v>
      </c>
      <c r="D9" t="str">
        <f>"547 - 12"</f>
        <v>547 - 12</v>
      </c>
      <c r="E9" t="str">
        <f>"561 - 7"</f>
        <v>561 - 7</v>
      </c>
      <c r="F9" t="str">
        <f>"1,108 - 19"</f>
        <v>1,108 - 19</v>
      </c>
    </row>
    <row r="10" spans="1:6" x14ac:dyDescent="0.25">
      <c r="A10">
        <v>6</v>
      </c>
      <c r="B10" t="str">
        <f>"Medina, Javier (345953)"</f>
        <v>Medina, Javier (345953)</v>
      </c>
      <c r="C10" t="str">
        <f>"Morouis, PR"</f>
        <v>Morouis, PR</v>
      </c>
      <c r="D10" t="str">
        <f>"550 - 7"</f>
        <v>550 - 7</v>
      </c>
      <c r="E10" t="str">
        <f>"553 - 12"</f>
        <v>553 - 12</v>
      </c>
      <c r="F10" t="str">
        <f>"1,103 - 19"</f>
        <v>1,103 - 19</v>
      </c>
    </row>
    <row r="11" spans="1:6" x14ac:dyDescent="0.25">
      <c r="A11">
        <v>7</v>
      </c>
      <c r="B11" t="str">
        <f>"Arkin, Elie (437013)"</f>
        <v>Arkin, Elie (437013)</v>
      </c>
      <c r="C11" t="str">
        <f>"Falls Church, VA"</f>
        <v>Falls Church, VA</v>
      </c>
      <c r="D11" t="str">
        <f>"545 - 10"</f>
        <v>545 - 10</v>
      </c>
      <c r="E11" t="str">
        <f>"549 - 6"</f>
        <v>549 - 6</v>
      </c>
      <c r="F11" t="str">
        <f>"1,094 - 16"</f>
        <v>1,094 - 16</v>
      </c>
    </row>
    <row r="12" spans="1:6" x14ac:dyDescent="0.25">
      <c r="A12">
        <v>8</v>
      </c>
      <c r="B12" t="str">
        <f>"Dorsten, Johnathan (312633)"</f>
        <v>Dorsten, Johnathan (312633)</v>
      </c>
      <c r="C12" t="str">
        <f>"Bryan , OH"</f>
        <v>Bryan , OH</v>
      </c>
      <c r="D12" t="str">
        <f>"545 - 6"</f>
        <v>545 - 6</v>
      </c>
      <c r="E12" t="str">
        <f>"549 - 8"</f>
        <v>549 - 8</v>
      </c>
      <c r="F12" t="str">
        <f>"1,094 - 14"</f>
        <v>1,094 - 14</v>
      </c>
    </row>
    <row r="13" spans="1:6" x14ac:dyDescent="0.25">
      <c r="A13">
        <v>9</v>
      </c>
      <c r="B13" t="str">
        <f>"Regala, William (386616)"</f>
        <v>Regala, William (386616)</v>
      </c>
      <c r="C13" t="str">
        <f>"Burke, VA"</f>
        <v>Burke, VA</v>
      </c>
      <c r="D13" t="str">
        <f>"544 - 10"</f>
        <v>544 - 10</v>
      </c>
      <c r="E13" t="str">
        <f>"542 - 12"</f>
        <v>542 - 12</v>
      </c>
      <c r="F13" t="str">
        <f>"1,086 - 22"</f>
        <v>1,086 - 22</v>
      </c>
    </row>
    <row r="14" spans="1:6" x14ac:dyDescent="0.25">
      <c r="A14">
        <v>10</v>
      </c>
      <c r="B14" t="str">
        <f>"Carbaugh, Nathan (462066)"</f>
        <v>Carbaugh, Nathan (462066)</v>
      </c>
      <c r="C14" t="str">
        <f>"Herndon, VA"</f>
        <v>Herndon, VA</v>
      </c>
      <c r="D14" t="str">
        <f>"535 - 5"</f>
        <v>535 - 5</v>
      </c>
      <c r="E14" t="str">
        <f>"547 - 9"</f>
        <v>547 - 9</v>
      </c>
      <c r="F14" t="str">
        <f>"1,082 - 14"</f>
        <v>1,082 - 14</v>
      </c>
    </row>
    <row r="15" spans="1:6" x14ac:dyDescent="0.25">
      <c r="A15">
        <v>11</v>
      </c>
      <c r="B15" t="str">
        <f>"Forman, David (345787)"</f>
        <v>Forman, David (345787)</v>
      </c>
      <c r="C15" t="str">
        <f>"Columbus, OH"</f>
        <v>Columbus, OH</v>
      </c>
      <c r="D15" t="str">
        <f>"537 - 7"</f>
        <v>537 - 7</v>
      </c>
      <c r="E15" t="str">
        <f>"544 - 10"</f>
        <v>544 - 10</v>
      </c>
      <c r="F15" t="str">
        <f>"1,081 - 17"</f>
        <v>1,081 - 17</v>
      </c>
    </row>
    <row r="16" spans="1:6" x14ac:dyDescent="0.25">
      <c r="A16">
        <v>12</v>
      </c>
      <c r="B16" t="str">
        <f>"Jones, Zane, Maj, USMCR (111001)"</f>
        <v>Jones, Zane, Maj, USMCR (111001)</v>
      </c>
      <c r="C16" t="str">
        <f>"Columbus, OH"</f>
        <v>Columbus, OH</v>
      </c>
      <c r="D16" t="str">
        <f>"542 - 5"</f>
        <v>542 - 5</v>
      </c>
      <c r="E16" t="str">
        <f>"538 - 7"</f>
        <v>538 - 7</v>
      </c>
      <c r="F16" t="str">
        <f>"1,080 - 12"</f>
        <v>1,080 - 12</v>
      </c>
    </row>
    <row r="17" spans="1:6" x14ac:dyDescent="0.25">
      <c r="A17">
        <v>13</v>
      </c>
      <c r="B17" t="str">
        <f>"Treml, Trevor, SFC, USAR (385506)"</f>
        <v>Treml, Trevor, SFC, USAR (385506)</v>
      </c>
      <c r="C17" t="str">
        <f>"Luxemburg, WI"</f>
        <v>Luxemburg, WI</v>
      </c>
      <c r="D17" t="str">
        <f>"535 - 9"</f>
        <v>535 - 9</v>
      </c>
      <c r="E17" t="str">
        <f>"543 - 5"</f>
        <v>543 - 5</v>
      </c>
      <c r="F17" t="str">
        <f>"1,078 - 14"</f>
        <v>1,078 - 14</v>
      </c>
    </row>
    <row r="18" spans="1:6" x14ac:dyDescent="0.25">
      <c r="A18">
        <v>14</v>
      </c>
      <c r="B18" t="str">
        <f>"Cannon, Patrick (144105)"</f>
        <v>Cannon, Patrick (144105)</v>
      </c>
      <c r="C18" t="str">
        <f>"Ty Ty, GA"</f>
        <v>Ty Ty, GA</v>
      </c>
      <c r="D18" t="str">
        <f>"534 - 9"</f>
        <v>534 - 9</v>
      </c>
      <c r="E18" t="str">
        <f>"542 - 9"</f>
        <v>542 - 9</v>
      </c>
      <c r="F18" t="str">
        <f>"1,076 - 18"</f>
        <v>1,076 - 18</v>
      </c>
    </row>
    <row r="19" spans="1:6" x14ac:dyDescent="0.25">
      <c r="A19">
        <v>15</v>
      </c>
      <c r="B19" t="str">
        <f>"Betterly, David, Mr. (345064)"</f>
        <v>Betterly, David, Mr. (345064)</v>
      </c>
      <c r="C19" t="str">
        <f>"Saint Charles, MO"</f>
        <v>Saint Charles, MO</v>
      </c>
      <c r="D19" t="str">
        <f>"545 - 11"</f>
        <v>545 - 11</v>
      </c>
      <c r="E19" t="str">
        <f>"531 - 5"</f>
        <v>531 - 5</v>
      </c>
      <c r="F19" t="str">
        <f>"1,076 - 16"</f>
        <v>1,076 - 16</v>
      </c>
    </row>
    <row r="20" spans="1:6" x14ac:dyDescent="0.25">
      <c r="A20">
        <v>16</v>
      </c>
      <c r="B20" t="str">
        <f>"Collin, John (397378)"</f>
        <v>Collin, John (397378)</v>
      </c>
      <c r="C20" t="str">
        <f>"Gurnee, IL"</f>
        <v>Gurnee, IL</v>
      </c>
      <c r="D20" t="str">
        <f>"524 - 3"</f>
        <v>524 - 3</v>
      </c>
      <c r="E20" t="str">
        <f>"537 - 8"</f>
        <v>537 - 8</v>
      </c>
      <c r="F20" t="str">
        <f>"1,061 - 11"</f>
        <v>1,061 - 11</v>
      </c>
    </row>
    <row r="21" spans="1:6" x14ac:dyDescent="0.25">
      <c r="A21">
        <v>17</v>
      </c>
      <c r="B21" t="str">
        <f>"Vega, Michael (20220)"</f>
        <v>Vega, Michael (20220)</v>
      </c>
      <c r="C21" t="str">
        <f>"Salinas, PR"</f>
        <v>Salinas, PR</v>
      </c>
      <c r="D21" t="str">
        <f>"528 - 7"</f>
        <v>528 - 7</v>
      </c>
      <c r="E21" t="str">
        <f>"532 - 10"</f>
        <v>532 - 10</v>
      </c>
      <c r="F21" t="str">
        <f>"1,060 - 17"</f>
        <v>1,060 - 17</v>
      </c>
    </row>
    <row r="22" spans="1:6" x14ac:dyDescent="0.25">
      <c r="A22">
        <v>18</v>
      </c>
      <c r="B22" t="str">
        <f>"Melus Sr., Bernard (228890)"</f>
        <v>Melus Sr., Bernard (228890)</v>
      </c>
      <c r="C22" t="str">
        <f>"Lake Zurich, IL"</f>
        <v>Lake Zurich, IL</v>
      </c>
      <c r="D22" t="str">
        <f>"522 - 4"</f>
        <v>522 - 4</v>
      </c>
      <c r="E22" t="str">
        <f>"537 - 6"</f>
        <v>537 - 6</v>
      </c>
      <c r="F22" t="str">
        <f>"1,059 - 10"</f>
        <v>1,059 - 10</v>
      </c>
    </row>
    <row r="23" spans="1:6" x14ac:dyDescent="0.25">
      <c r="A23">
        <v>19</v>
      </c>
      <c r="B23" t="str">
        <f>"Melus Jr., Bernard (260475)"</f>
        <v>Melus Jr., Bernard (260475)</v>
      </c>
      <c r="C23" t="str">
        <f>"Columbus, OH"</f>
        <v>Columbus, OH</v>
      </c>
      <c r="D23" t="str">
        <f>"525 - 5"</f>
        <v>525 - 5</v>
      </c>
      <c r="E23" t="str">
        <f>"527 - 6"</f>
        <v>527 - 6</v>
      </c>
      <c r="F23" t="str">
        <f>"1,052 - 11"</f>
        <v>1,052 - 11</v>
      </c>
    </row>
    <row r="24" spans="1:6" x14ac:dyDescent="0.25">
      <c r="A24">
        <v>20</v>
      </c>
      <c r="B24" t="str">
        <f>"Langerak, Evan (412213)"</f>
        <v>Langerak, Evan (412213)</v>
      </c>
      <c r="C24" t="str">
        <f>"Bemidji, MN"</f>
        <v>Bemidji, MN</v>
      </c>
      <c r="D24" t="str">
        <f>"528 - 6"</f>
        <v>528 - 6</v>
      </c>
      <c r="E24" t="str">
        <f>"521 - 7"</f>
        <v>521 - 7</v>
      </c>
      <c r="F24" t="str">
        <f>"1,049 - 13"</f>
        <v>1,049 - 13</v>
      </c>
    </row>
    <row r="25" spans="1:6" x14ac:dyDescent="0.25">
      <c r="A25">
        <v>21</v>
      </c>
      <c r="B25" t="str">
        <f>"Arten, Ethan (74532)"</f>
        <v>Arten, Ethan (74532)</v>
      </c>
      <c r="C25" t="str">
        <f>"Hazel Park, MI"</f>
        <v>Hazel Park, MI</v>
      </c>
      <c r="D25" t="str">
        <f>"525 - 8"</f>
        <v>525 - 8</v>
      </c>
      <c r="E25" t="str">
        <f>"511 - 5"</f>
        <v>511 - 5</v>
      </c>
      <c r="F25" t="str">
        <f>"1,036 - 13"</f>
        <v>1,036 - 13</v>
      </c>
    </row>
    <row r="26" spans="1:6" x14ac:dyDescent="0.25">
      <c r="A26">
        <v>22</v>
      </c>
      <c r="B26" t="str">
        <f>"Bergman, Dalton (279871)"</f>
        <v>Bergman, Dalton (279871)</v>
      </c>
      <c r="C26" t="str">
        <f>"Oak Harbor, OH"</f>
        <v>Oak Harbor, OH</v>
      </c>
      <c r="D26" t="str">
        <f>"518 - 5"</f>
        <v>518 - 5</v>
      </c>
      <c r="E26" t="str">
        <f>"499 - 2"</f>
        <v>499 - 2</v>
      </c>
      <c r="F26" t="str">
        <f>"1,017 - 7"</f>
        <v>1,017 - 7</v>
      </c>
    </row>
    <row r="27" spans="1:6" x14ac:dyDescent="0.25">
      <c r="A27">
        <v>23</v>
      </c>
      <c r="B27" t="str">
        <f>"D'Souza, David (318885)"</f>
        <v>D'Souza, David (318885)</v>
      </c>
      <c r="C27" t="str">
        <f>"Ellicott City, MD"</f>
        <v>Ellicott City, MD</v>
      </c>
      <c r="D27" t="str">
        <f>"498 - 2"</f>
        <v>498 - 2</v>
      </c>
      <c r="E27" t="str">
        <f>"518 - 2"</f>
        <v>518 - 2</v>
      </c>
      <c r="F27" t="str">
        <f>"1,016 - 4"</f>
        <v>1,016 - 4</v>
      </c>
    </row>
    <row r="28" spans="1:6" x14ac:dyDescent="0.25">
      <c r="A28">
        <v>24</v>
      </c>
      <c r="B28" t="str">
        <f>"Wagner, Theodore (385685)"</f>
        <v>Wagner, Theodore (385685)</v>
      </c>
      <c r="C28" t="str">
        <f>"Fort Wayne, IN"</f>
        <v>Fort Wayne, IN</v>
      </c>
      <c r="D28" t="str">
        <f>"498 - 4"</f>
        <v>498 - 4</v>
      </c>
      <c r="E28" t="str">
        <f>"511 - 6"</f>
        <v>511 - 6</v>
      </c>
      <c r="F28" t="str">
        <f>"1,009 - 10"</f>
        <v>1,009 - 10</v>
      </c>
    </row>
    <row r="29" spans="1:6" x14ac:dyDescent="0.25">
      <c r="A29">
        <v>25</v>
      </c>
      <c r="B29" t="str">
        <f>"Piraviperumal, Kumar (54413)"</f>
        <v>Piraviperumal, Kumar (54413)</v>
      </c>
      <c r="C29" t="str">
        <f>"Harrisburg, PA"</f>
        <v>Harrisburg, PA</v>
      </c>
      <c r="D29" t="str">
        <f>"496 - 3"</f>
        <v>496 - 3</v>
      </c>
      <c r="E29" t="str">
        <f>"502 - 5"</f>
        <v>502 - 5</v>
      </c>
      <c r="F29" t="str">
        <f>"998 - 8"</f>
        <v>998 - 8</v>
      </c>
    </row>
    <row r="30" spans="1:6" x14ac:dyDescent="0.25">
      <c r="A30">
        <v>26</v>
      </c>
      <c r="B30" t="str">
        <f>"Leshem, Jack (487569)"</f>
        <v>Leshem, Jack (487569)</v>
      </c>
      <c r="C30" t="str">
        <f>"Highland Park, IL"</f>
        <v>Highland Park, IL</v>
      </c>
      <c r="D30" t="str">
        <f>"478 - 2"</f>
        <v>478 - 2</v>
      </c>
      <c r="E30" t="str">
        <f>"481 - 2"</f>
        <v>481 - 2</v>
      </c>
      <c r="F30" t="str">
        <f>"959 - 4"</f>
        <v>959 - 4</v>
      </c>
    </row>
    <row r="31" spans="1:6" x14ac:dyDescent="0.25">
      <c r="A31">
        <v>27</v>
      </c>
      <c r="B31" t="str">
        <f>"Allan, Alexander (487563)"</f>
        <v>Allan, Alexander (487563)</v>
      </c>
      <c r="C31" t="str">
        <f>"Mooresville, NC"</f>
        <v>Mooresville, NC</v>
      </c>
      <c r="D31" t="str">
        <f>"439 - 1"</f>
        <v>439 - 1</v>
      </c>
      <c r="E31" t="str">
        <f>"431 - 1"</f>
        <v>431 - 1</v>
      </c>
      <c r="F31" t="str">
        <f>"870 - 2"</f>
        <v>870 - 2</v>
      </c>
    </row>
    <row r="32" spans="1:6" x14ac:dyDescent="0.25">
      <c r="A32">
        <v>28</v>
      </c>
      <c r="B32" t="str">
        <f>"Dorsten, Damian (312634)"</f>
        <v>Dorsten, Damian (312634)</v>
      </c>
      <c r="C32" t="str">
        <f>"Bryan, OH"</f>
        <v>Bryan, OH</v>
      </c>
      <c r="D32" t="str">
        <f>"501 - 3"</f>
        <v>501 - 3</v>
      </c>
      <c r="E32" t="str">
        <f>""</f>
        <v/>
      </c>
      <c r="F32" t="str">
        <f>"501 - 3"</f>
        <v>501 - 3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0FB0-43F1-4CF7-8B72-6FBCBC92D66D}">
  <dimension ref="A1:T27"/>
  <sheetViews>
    <sheetView workbookViewId="0">
      <selection activeCell="A16" sqref="A16:T28"/>
    </sheetView>
  </sheetViews>
  <sheetFormatPr defaultRowHeight="15" x14ac:dyDescent="0.25"/>
  <cols>
    <col min="1" max="1" width="34.140625" bestFit="1" customWidth="1"/>
    <col min="2" max="2" width="26.5703125" bestFit="1" customWidth="1"/>
    <col min="3" max="3" width="15.42578125" bestFit="1" customWidth="1"/>
  </cols>
  <sheetData>
    <row r="1" spans="1:20" x14ac:dyDescent="0.25">
      <c r="A1" t="str">
        <f>"2024 USAS Winter Air Gun Camp Perry"</f>
        <v>2024 USAS Winter Air Gun Camp Perry</v>
      </c>
    </row>
    <row r="2" spans="1:20" x14ac:dyDescent="0.25">
      <c r="A2" t="str">
        <f>"Open Pistol Finals - Men"</f>
        <v>Open Pistol Finals - Men</v>
      </c>
    </row>
    <row r="3" spans="1:20" x14ac:dyDescent="0.25">
      <c r="A3" t="str">
        <f>""</f>
        <v/>
      </c>
    </row>
    <row r="4" spans="1:20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"ISSF Final, First 5 Shot Stage"</f>
        <v>ISSF Final, First 5 Shot Stage</v>
      </c>
      <c r="E4" t="str">
        <f>"ISSF Final, Second 5 Shot"</f>
        <v>ISSF Final, Second 5 Shot</v>
      </c>
      <c r="F4" t="str">
        <f>"ISSF Final, First 2 Shot"</f>
        <v>ISSF Final, First 2 Shot</v>
      </c>
      <c r="G4" t="str">
        <f>"ISSF Final, Shootoff after F3"</f>
        <v>ISSF Final, Shootoff after F3</v>
      </c>
      <c r="H4" t="str">
        <f>"ISSF Final, Second 2 Shot"</f>
        <v>ISSF Final, Second 2 Shot</v>
      </c>
      <c r="I4" t="str">
        <f>"ISSF Final, Shootoff after F4"</f>
        <v>ISSF Final, Shootoff after F4</v>
      </c>
      <c r="J4" t="str">
        <f>"ISSF Final, Third 2 Shot"</f>
        <v>ISSF Final, Third 2 Shot</v>
      </c>
      <c r="K4" t="str">
        <f>"ISSF Final, Shootoff after F5"</f>
        <v>ISSF Final, Shootoff after F5</v>
      </c>
      <c r="L4" t="str">
        <f>"ISSF Final, Fourth 2 Shot"</f>
        <v>ISSF Final, Fourth 2 Shot</v>
      </c>
      <c r="M4" t="str">
        <f>"ISSF Final, Shootoff after F6"</f>
        <v>ISSF Final, Shootoff after F6</v>
      </c>
      <c r="N4" t="str">
        <f>"ISSF Final, Fifth 2 Shot"</f>
        <v>ISSF Final, Fifth 2 Shot</v>
      </c>
      <c r="O4" t="str">
        <f>"ISSF Final, Shootoff after F7"</f>
        <v>ISSF Final, Shootoff after F7</v>
      </c>
      <c r="P4" t="str">
        <f>"ISSF Final, Sixth 2 Shot"</f>
        <v>ISSF Final, Sixth 2 Shot</v>
      </c>
      <c r="Q4" t="str">
        <f>"ISSF Final, Shootoff after F8"</f>
        <v>ISSF Final, Shootoff after F8</v>
      </c>
      <c r="R4" t="str">
        <f>"ISSF Final, Seventh 2 Shot"</f>
        <v>ISSF Final, Seventh 2 Shot</v>
      </c>
      <c r="S4" t="str">
        <f>"ISSF Final, Shootoff after F9"</f>
        <v>ISSF Final, Shootoff after F9</v>
      </c>
      <c r="T4" t="str">
        <f>"Aggregate"</f>
        <v>Aggregate</v>
      </c>
    </row>
    <row r="5" spans="1:20" x14ac:dyDescent="0.25">
      <c r="A5">
        <v>1</v>
      </c>
      <c r="B5" t="str">
        <f>"Klemp, Marcus (335048)"</f>
        <v>Klemp, Marcus (335048)</v>
      </c>
      <c r="C5" t="str">
        <f>"Missoula, MT"</f>
        <v>Missoula, MT</v>
      </c>
      <c r="D5" t="str">
        <f>"49.8"</f>
        <v>49.8</v>
      </c>
      <c r="E5" t="str">
        <f>"48.4"</f>
        <v>48.4</v>
      </c>
      <c r="F5" t="str">
        <f>"19.9"</f>
        <v>19.9</v>
      </c>
      <c r="G5" t="str">
        <f>"18.4"</f>
        <v>18.4</v>
      </c>
      <c r="H5" t="str">
        <f>"20.3"</f>
        <v>20.3</v>
      </c>
      <c r="I5" t="str">
        <f>""</f>
        <v/>
      </c>
      <c r="J5" t="str">
        <f>"20.3"</f>
        <v>20.3</v>
      </c>
      <c r="K5" t="str">
        <f>""</f>
        <v/>
      </c>
      <c r="L5" t="str">
        <f>"19.5"</f>
        <v>19.5</v>
      </c>
      <c r="M5" t="str">
        <f>""</f>
        <v/>
      </c>
      <c r="N5" t="str">
        <f>"20.3"</f>
        <v>20.3</v>
      </c>
      <c r="O5" t="str">
        <f>""</f>
        <v/>
      </c>
      <c r="P5" t="str">
        <f>""</f>
        <v/>
      </c>
      <c r="Q5" t="str">
        <f>""</f>
        <v/>
      </c>
      <c r="R5" t="str">
        <f>"20.4"</f>
        <v>20.4</v>
      </c>
      <c r="S5" t="str">
        <f>""</f>
        <v/>
      </c>
      <c r="T5" t="str">
        <f>"218.9"</f>
        <v>218.9</v>
      </c>
    </row>
    <row r="6" spans="1:20" x14ac:dyDescent="0.25">
      <c r="A6">
        <v>2</v>
      </c>
      <c r="B6" t="str">
        <f>"Lutz, Anthony (19476)"</f>
        <v>Lutz, Anthony (19476)</v>
      </c>
      <c r="C6" t="str">
        <f>"Orient, OH"</f>
        <v>Orient, OH</v>
      </c>
      <c r="D6" t="str">
        <f>"49.2"</f>
        <v>49.2</v>
      </c>
      <c r="E6" t="str">
        <f>"48.2"</f>
        <v>48.2</v>
      </c>
      <c r="F6" t="str">
        <f>"20.5"</f>
        <v>20.5</v>
      </c>
      <c r="G6" t="str">
        <f>"20.0"</f>
        <v>20.0</v>
      </c>
      <c r="H6" t="str">
        <f>"19.8"</f>
        <v>19.8</v>
      </c>
      <c r="I6" t="str">
        <f>""</f>
        <v/>
      </c>
      <c r="J6" t="str">
        <f>"18.9"</f>
        <v>18.9</v>
      </c>
      <c r="K6" t="str">
        <f>""</f>
        <v/>
      </c>
      <c r="L6" t="str">
        <f>"19.0"</f>
        <v>19.0</v>
      </c>
      <c r="M6" t="str">
        <f>""</f>
        <v/>
      </c>
      <c r="N6" t="str">
        <f>"19.4"</f>
        <v>19.4</v>
      </c>
      <c r="O6" t="str">
        <f>""</f>
        <v/>
      </c>
      <c r="P6" t="str">
        <f>""</f>
        <v/>
      </c>
      <c r="Q6" t="str">
        <f>""</f>
        <v/>
      </c>
      <c r="R6" t="str">
        <f>"20.5"</f>
        <v>20.5</v>
      </c>
      <c r="S6" t="str">
        <f>""</f>
        <v/>
      </c>
      <c r="T6" t="str">
        <f>"215.5"</f>
        <v>215.5</v>
      </c>
    </row>
    <row r="7" spans="1:20" x14ac:dyDescent="0.25">
      <c r="A7">
        <v>3</v>
      </c>
      <c r="B7" t="str">
        <f>"Hall, James (29)"</f>
        <v>Hall, James (29)</v>
      </c>
      <c r="C7" t="str">
        <f>"Rocheport, MO"</f>
        <v>Rocheport, MO</v>
      </c>
      <c r="D7" t="str">
        <f>"46.6"</f>
        <v>46.6</v>
      </c>
      <c r="E7" t="str">
        <f>"50.8"</f>
        <v>50.8</v>
      </c>
      <c r="F7" t="str">
        <f>"16.4"</f>
        <v>16.4</v>
      </c>
      <c r="G7" t="str">
        <f>""</f>
        <v/>
      </c>
      <c r="H7" t="str">
        <f>"20.2"</f>
        <v>20.2</v>
      </c>
      <c r="I7" t="str">
        <f>""</f>
        <v/>
      </c>
      <c r="J7" t="str">
        <f>"20.3"</f>
        <v>20.3</v>
      </c>
      <c r="K7" t="str">
        <f>""</f>
        <v/>
      </c>
      <c r="L7" t="str">
        <f>"19.0"</f>
        <v>19.0</v>
      </c>
      <c r="M7" t="str">
        <f>""</f>
        <v/>
      </c>
      <c r="N7" t="str">
        <f>"19.3"</f>
        <v>19.3</v>
      </c>
      <c r="O7" t="str">
        <f>""</f>
        <v/>
      </c>
      <c r="P7" t="str">
        <f>""</f>
        <v/>
      </c>
      <c r="Q7" t="str">
        <f>""</f>
        <v/>
      </c>
      <c r="R7" t="str">
        <f>"21.0"</f>
        <v>21.0</v>
      </c>
      <c r="S7" t="str">
        <f>""</f>
        <v/>
      </c>
      <c r="T7" t="str">
        <f>"213.6"</f>
        <v>213.6</v>
      </c>
    </row>
    <row r="8" spans="1:20" x14ac:dyDescent="0.25">
      <c r="A8">
        <v>4</v>
      </c>
      <c r="B8" t="str">
        <f>"Dorsten, Johnathan (312633)"</f>
        <v>Dorsten, Johnathan (312633)</v>
      </c>
      <c r="C8" t="str">
        <f>"Bryan , OH"</f>
        <v>Bryan , OH</v>
      </c>
      <c r="D8" t="str">
        <f>"48.8"</f>
        <v>48.8</v>
      </c>
      <c r="E8" t="str">
        <f>"47.9"</f>
        <v>47.9</v>
      </c>
      <c r="F8" t="str">
        <f>"20.4"</f>
        <v>20.4</v>
      </c>
      <c r="G8" t="str">
        <f>""</f>
        <v/>
      </c>
      <c r="H8" t="str">
        <f>"16.2"</f>
        <v>16.2</v>
      </c>
      <c r="I8" t="str">
        <f>""</f>
        <v/>
      </c>
      <c r="J8" t="str">
        <f>"20.0"</f>
        <v>20.0</v>
      </c>
      <c r="K8" t="str">
        <f>""</f>
        <v/>
      </c>
      <c r="L8" t="str">
        <f>"20.3"</f>
        <v>20.3</v>
      </c>
      <c r="M8" t="str">
        <f>""</f>
        <v/>
      </c>
      <c r="N8" t="str">
        <f>"18.6"</f>
        <v>18.6</v>
      </c>
      <c r="O8" t="str">
        <f>""</f>
        <v/>
      </c>
      <c r="P8" t="str">
        <f>""</f>
        <v/>
      </c>
      <c r="Q8" t="str">
        <f>""</f>
        <v/>
      </c>
      <c r="R8" t="str">
        <f>""</f>
        <v/>
      </c>
      <c r="S8" t="str">
        <f>""</f>
        <v/>
      </c>
      <c r="T8" t="str">
        <f>"192.2"</f>
        <v>192.2</v>
      </c>
    </row>
    <row r="9" spans="1:20" x14ac:dyDescent="0.25">
      <c r="A9">
        <v>5</v>
      </c>
      <c r="B9" t="str">
        <f>"Kish, John (86735)"</f>
        <v>Kish, John (86735)</v>
      </c>
      <c r="C9" t="str">
        <f>"West Chicago, IL"</f>
        <v>West Chicago, IL</v>
      </c>
      <c r="D9" t="str">
        <f>"48.6"</f>
        <v>48.6</v>
      </c>
      <c r="E9" t="str">
        <f>"47.2"</f>
        <v>47.2</v>
      </c>
      <c r="F9" t="str">
        <f>"19.6"</f>
        <v>19.6</v>
      </c>
      <c r="G9" t="str">
        <f>""</f>
        <v/>
      </c>
      <c r="H9" t="str">
        <f>"19.2"</f>
        <v>19.2</v>
      </c>
      <c r="I9" t="str">
        <f>""</f>
        <v/>
      </c>
      <c r="J9" t="str">
        <f>"18.8"</f>
        <v>18.8</v>
      </c>
      <c r="K9" t="str">
        <f>""</f>
        <v/>
      </c>
      <c r="L9" t="str">
        <f>"19.4"</f>
        <v>19.4</v>
      </c>
      <c r="M9" t="str">
        <f>""</f>
        <v/>
      </c>
      <c r="N9" t="str">
        <f>""</f>
        <v/>
      </c>
      <c r="O9" t="str">
        <f>""</f>
        <v/>
      </c>
      <c r="P9" t="str">
        <f>""</f>
        <v/>
      </c>
      <c r="Q9" t="str">
        <f>""</f>
        <v/>
      </c>
      <c r="R9" t="str">
        <f>""</f>
        <v/>
      </c>
      <c r="S9" t="str">
        <f>""</f>
        <v/>
      </c>
      <c r="T9" t="str">
        <f>"172.8"</f>
        <v>172.8</v>
      </c>
    </row>
    <row r="10" spans="1:20" x14ac:dyDescent="0.25">
      <c r="A10">
        <v>6</v>
      </c>
      <c r="B10" t="str">
        <f>"Bagasra, Ammar (416308)"</f>
        <v>Bagasra, Ammar (416308)</v>
      </c>
      <c r="C10" t="str">
        <f>"Concord, MA"</f>
        <v>Concord, MA</v>
      </c>
      <c r="D10" t="str">
        <f>"48.9"</f>
        <v>48.9</v>
      </c>
      <c r="E10" t="str">
        <f>"48.7"</f>
        <v>48.7</v>
      </c>
      <c r="F10" t="str">
        <f>"19.2"</f>
        <v>19.2</v>
      </c>
      <c r="G10" t="str">
        <f>""</f>
        <v/>
      </c>
      <c r="H10" t="str">
        <f>"16.8"</f>
        <v>16.8</v>
      </c>
      <c r="I10" t="str">
        <f>""</f>
        <v/>
      </c>
      <c r="J10" t="str">
        <f>"18.7"</f>
        <v>18.7</v>
      </c>
      <c r="K10" t="str">
        <f>""</f>
        <v/>
      </c>
      <c r="L10" t="str">
        <f>""</f>
        <v/>
      </c>
      <c r="M10" t="str">
        <f>""</f>
        <v/>
      </c>
      <c r="N10" t="str">
        <f>""</f>
        <v/>
      </c>
      <c r="O10" t="str">
        <f>""</f>
        <v/>
      </c>
      <c r="P10" t="str">
        <f>""</f>
        <v/>
      </c>
      <c r="Q10" t="str">
        <f>""</f>
        <v/>
      </c>
      <c r="R10" t="str">
        <f>""</f>
        <v/>
      </c>
      <c r="S10" t="str">
        <f>""</f>
        <v/>
      </c>
      <c r="T10" t="str">
        <f>"152.3"</f>
        <v>152.3</v>
      </c>
    </row>
    <row r="11" spans="1:20" x14ac:dyDescent="0.25">
      <c r="A11">
        <v>7</v>
      </c>
      <c r="B11" t="str">
        <f>"Regala, William (386616)"</f>
        <v>Regala, William (386616)</v>
      </c>
      <c r="C11" t="str">
        <f>"Burke, VA"</f>
        <v>Burke, VA</v>
      </c>
      <c r="D11" t="str">
        <f>"45.8"</f>
        <v>45.8</v>
      </c>
      <c r="E11" t="str">
        <f>"47.6"</f>
        <v>47.6</v>
      </c>
      <c r="F11" t="str">
        <f>"19.3"</f>
        <v>19.3</v>
      </c>
      <c r="G11" t="str">
        <f>""</f>
        <v/>
      </c>
      <c r="H11" t="str">
        <f>"18.3"</f>
        <v>18.3</v>
      </c>
      <c r="I11" t="str">
        <f>""</f>
        <v/>
      </c>
      <c r="J11" t="str">
        <f>""</f>
        <v/>
      </c>
      <c r="K11" t="str">
        <f>""</f>
        <v/>
      </c>
      <c r="L11" t="str">
        <f>""</f>
        <v/>
      </c>
      <c r="M11" t="str">
        <f>""</f>
        <v/>
      </c>
      <c r="N11" t="str">
        <f>""</f>
        <v/>
      </c>
      <c r="O11" t="str">
        <f>""</f>
        <v/>
      </c>
      <c r="P11" t="str">
        <f>""</f>
        <v/>
      </c>
      <c r="Q11" t="str">
        <f>""</f>
        <v/>
      </c>
      <c r="R11" t="str">
        <f>""</f>
        <v/>
      </c>
      <c r="S11" t="str">
        <f>""</f>
        <v/>
      </c>
      <c r="T11" t="str">
        <f>"131.0"</f>
        <v>131.0</v>
      </c>
    </row>
    <row r="12" spans="1:20" x14ac:dyDescent="0.25">
      <c r="A12">
        <v>8</v>
      </c>
      <c r="B12" t="str">
        <f>"Arkin, Elie (437013)"</f>
        <v>Arkin, Elie (437013)</v>
      </c>
      <c r="C12" t="str">
        <f>"Falls Church, VA"</f>
        <v>Falls Church, VA</v>
      </c>
      <c r="D12" t="str">
        <f>"46.9"</f>
        <v>46.9</v>
      </c>
      <c r="E12" t="str">
        <f>"44.8"</f>
        <v>44.8</v>
      </c>
      <c r="F12" t="str">
        <f>"20.7"</f>
        <v>20.7</v>
      </c>
      <c r="G12" t="str">
        <f>""</f>
        <v/>
      </c>
      <c r="H12" t="str">
        <f>""</f>
        <v/>
      </c>
      <c r="I12" t="str">
        <f>""</f>
        <v/>
      </c>
      <c r="J12" t="str">
        <f>""</f>
        <v/>
      </c>
      <c r="K12" t="str">
        <f>""</f>
        <v/>
      </c>
      <c r="L12" t="str">
        <f>""</f>
        <v/>
      </c>
      <c r="M12" t="str">
        <f>""</f>
        <v/>
      </c>
      <c r="N12" t="str">
        <f>""</f>
        <v/>
      </c>
      <c r="O12" t="str">
        <f>""</f>
        <v/>
      </c>
      <c r="P12" t="str">
        <f>""</f>
        <v/>
      </c>
      <c r="Q12" t="str">
        <f>""</f>
        <v/>
      </c>
      <c r="R12" t="str">
        <f>""</f>
        <v/>
      </c>
      <c r="S12" t="str">
        <f>""</f>
        <v/>
      </c>
      <c r="T12" t="str">
        <f>"112.4"</f>
        <v>112.4</v>
      </c>
    </row>
    <row r="16" spans="1:20" x14ac:dyDescent="0.25">
      <c r="A16" t="str">
        <f>"2024 USAS Winter Air Gun Camp Perry"</f>
        <v>2024 USAS Winter Air Gun Camp Perry</v>
      </c>
    </row>
    <row r="17" spans="1:20" x14ac:dyDescent="0.25">
      <c r="A17" t="str">
        <f>"Junior Pistol Finals - Men"</f>
        <v>Junior Pistol Finals - Men</v>
      </c>
    </row>
    <row r="18" spans="1:20" x14ac:dyDescent="0.25">
      <c r="A18" t="str">
        <f>""</f>
        <v/>
      </c>
    </row>
    <row r="19" spans="1:20" x14ac:dyDescent="0.25">
      <c r="A19" t="str">
        <f>"Place"</f>
        <v>Place</v>
      </c>
      <c r="B19" t="str">
        <f>"Competitor (Comp Num)"</f>
        <v>Competitor (Comp Num)</v>
      </c>
      <c r="C19" t="str">
        <f>"Hometown"</f>
        <v>Hometown</v>
      </c>
      <c r="D19" t="str">
        <f>"ISSF Final, First 5 Shot Stage"</f>
        <v>ISSF Final, First 5 Shot Stage</v>
      </c>
      <c r="E19" t="str">
        <f>"ISSF Final, Second 5 Shot"</f>
        <v>ISSF Final, Second 5 Shot</v>
      </c>
      <c r="F19" t="str">
        <f>"ISSF Final, First 2 Shot"</f>
        <v>ISSF Final, First 2 Shot</v>
      </c>
      <c r="G19" t="str">
        <f>"ISSF Final, Shootoff after F3"</f>
        <v>ISSF Final, Shootoff after F3</v>
      </c>
      <c r="H19" t="str">
        <f>"ISSF Final, Second 2 Shot"</f>
        <v>ISSF Final, Second 2 Shot</v>
      </c>
      <c r="I19" t="str">
        <f>"ISSF Final, Shootoff after F4"</f>
        <v>ISSF Final, Shootoff after F4</v>
      </c>
      <c r="J19" t="str">
        <f>"ISSF Final, Third 2 Shot"</f>
        <v>ISSF Final, Third 2 Shot</v>
      </c>
      <c r="K19" t="str">
        <f>"ISSF Final, Shootoff after F5"</f>
        <v>ISSF Final, Shootoff after F5</v>
      </c>
      <c r="L19" t="str">
        <f>"ISSF Final, Fourth 2 Shot"</f>
        <v>ISSF Final, Fourth 2 Shot</v>
      </c>
      <c r="M19" t="str">
        <f>"ISSF Final, Shootoff after F6"</f>
        <v>ISSF Final, Shootoff after F6</v>
      </c>
      <c r="N19" t="str">
        <f>"ISSF Final, Fifth 2 Shot"</f>
        <v>ISSF Final, Fifth 2 Shot</v>
      </c>
      <c r="O19" t="str">
        <f>"ISSF Final, Shootoff after F7"</f>
        <v>ISSF Final, Shootoff after F7</v>
      </c>
      <c r="P19" t="str">
        <f>"ISSF Final, Sixth 2 Shot"</f>
        <v>ISSF Final, Sixth 2 Shot</v>
      </c>
      <c r="Q19" t="str">
        <f>"ISSF Final, Shootoff after F8"</f>
        <v>ISSF Final, Shootoff after F8</v>
      </c>
      <c r="R19" t="str">
        <f>"ISSF Final, Seventh 2 Shot"</f>
        <v>ISSF Final, Seventh 2 Shot</v>
      </c>
      <c r="S19" t="str">
        <f>"ISSF Final, Shootoff after F9"</f>
        <v>ISSF Final, Shootoff after F9</v>
      </c>
      <c r="T19" t="str">
        <f>"Aggregate"</f>
        <v>Aggregate</v>
      </c>
    </row>
    <row r="20" spans="1:20" x14ac:dyDescent="0.25">
      <c r="A20">
        <v>1</v>
      </c>
      <c r="B20" t="str">
        <f>"Klemp, Marcus (335048)"</f>
        <v>Klemp, Marcus (335048)</v>
      </c>
      <c r="C20" t="str">
        <f>"Missoula, MT"</f>
        <v>Missoula, MT</v>
      </c>
      <c r="D20" t="str">
        <f>"51.2"</f>
        <v>51.2</v>
      </c>
      <c r="E20" t="str">
        <f>"51.3"</f>
        <v>51.3</v>
      </c>
      <c r="F20" t="str">
        <f>"18.9"</f>
        <v>18.9</v>
      </c>
      <c r="G20" t="str">
        <f>""</f>
        <v/>
      </c>
      <c r="H20" t="str">
        <f>"19.4"</f>
        <v>19.4</v>
      </c>
      <c r="I20" t="str">
        <f>""</f>
        <v/>
      </c>
      <c r="J20" t="str">
        <f>"20.4"</f>
        <v>20.4</v>
      </c>
      <c r="K20" t="str">
        <f>""</f>
        <v/>
      </c>
      <c r="L20" t="str">
        <f>"19.4"</f>
        <v>19.4</v>
      </c>
      <c r="M20" t="str">
        <f>""</f>
        <v/>
      </c>
      <c r="N20" t="str">
        <f>"20.3"</f>
        <v>20.3</v>
      </c>
      <c r="O20" t="str">
        <f>""</f>
        <v/>
      </c>
      <c r="P20" t="str">
        <f>"20.1"</f>
        <v>20.1</v>
      </c>
      <c r="Q20" t="str">
        <f>""</f>
        <v/>
      </c>
      <c r="R20" t="str">
        <f>"19.3"</f>
        <v>19.3</v>
      </c>
      <c r="S20" t="str">
        <f>""</f>
        <v/>
      </c>
      <c r="T20" t="str">
        <f>"240.3"</f>
        <v>240.3</v>
      </c>
    </row>
    <row r="21" spans="1:20" x14ac:dyDescent="0.25">
      <c r="A21">
        <v>2</v>
      </c>
      <c r="B21" t="str">
        <f>"Arkin, Elie (437013)"</f>
        <v>Arkin, Elie (437013)</v>
      </c>
      <c r="C21" t="str">
        <f>"Falls Church, VA"</f>
        <v>Falls Church, VA</v>
      </c>
      <c r="D21" t="str">
        <f>"49.6"</f>
        <v>49.6</v>
      </c>
      <c r="E21" t="str">
        <f>"45.7"</f>
        <v>45.7</v>
      </c>
      <c r="F21" t="str">
        <f>"19.5"</f>
        <v>19.5</v>
      </c>
      <c r="G21" t="str">
        <f>""</f>
        <v/>
      </c>
      <c r="H21" t="str">
        <f>"17.9"</f>
        <v>17.9</v>
      </c>
      <c r="I21" t="str">
        <f>""</f>
        <v/>
      </c>
      <c r="J21" t="str">
        <f>"21.0"</f>
        <v>21.0</v>
      </c>
      <c r="K21" t="str">
        <f>""</f>
        <v/>
      </c>
      <c r="L21" t="str">
        <f>"20.1"</f>
        <v>20.1</v>
      </c>
      <c r="M21" t="str">
        <f>""</f>
        <v/>
      </c>
      <c r="N21" t="str">
        <f>"18.8"</f>
        <v>18.8</v>
      </c>
      <c r="O21" t="str">
        <f>""</f>
        <v/>
      </c>
      <c r="P21" t="str">
        <f>"19.5"</f>
        <v>19.5</v>
      </c>
      <c r="Q21" t="str">
        <f>""</f>
        <v/>
      </c>
      <c r="R21" t="str">
        <f>"18.6"</f>
        <v>18.6</v>
      </c>
      <c r="S21" t="str">
        <f>""</f>
        <v/>
      </c>
      <c r="T21" t="str">
        <f>"230.7"</f>
        <v>230.7</v>
      </c>
    </row>
    <row r="22" spans="1:20" x14ac:dyDescent="0.25">
      <c r="A22">
        <v>3</v>
      </c>
      <c r="B22" t="str">
        <f>"Dorsten, Johnathan (312633)"</f>
        <v>Dorsten, Johnathan (312633)</v>
      </c>
      <c r="C22" t="str">
        <f>"Bryan , OH"</f>
        <v>Bryan , OH</v>
      </c>
      <c r="D22" t="str">
        <f>"48.1"</f>
        <v>48.1</v>
      </c>
      <c r="E22" t="str">
        <f>"46.9"</f>
        <v>46.9</v>
      </c>
      <c r="F22" t="str">
        <f>"21.0"</f>
        <v>21.0</v>
      </c>
      <c r="G22" t="str">
        <f>""</f>
        <v/>
      </c>
      <c r="H22" t="str">
        <f>"18.8"</f>
        <v>18.8</v>
      </c>
      <c r="I22" t="str">
        <f>""</f>
        <v/>
      </c>
      <c r="J22" t="str">
        <f>"17.5"</f>
        <v>17.5</v>
      </c>
      <c r="K22" t="str">
        <f>""</f>
        <v/>
      </c>
      <c r="L22" t="str">
        <f>"19.0"</f>
        <v>19.0</v>
      </c>
      <c r="M22" t="str">
        <f>""</f>
        <v/>
      </c>
      <c r="N22" t="str">
        <f>"18.9"</f>
        <v>18.9</v>
      </c>
      <c r="O22" t="str">
        <f>""</f>
        <v/>
      </c>
      <c r="P22" t="str">
        <f>"15.9"</f>
        <v>15.9</v>
      </c>
      <c r="Q22" t="str">
        <f>""</f>
        <v/>
      </c>
      <c r="R22" t="str">
        <f>""</f>
        <v/>
      </c>
      <c r="S22" t="str">
        <f>""</f>
        <v/>
      </c>
      <c r="T22" t="str">
        <f>"206.1"</f>
        <v>206.1</v>
      </c>
    </row>
    <row r="23" spans="1:20" x14ac:dyDescent="0.25">
      <c r="A23">
        <v>4</v>
      </c>
      <c r="B23" t="str">
        <f>"Bagasra, Ammar (416308)"</f>
        <v>Bagasra, Ammar (416308)</v>
      </c>
      <c r="C23" t="str">
        <f>"Concord, MA"</f>
        <v>Concord, MA</v>
      </c>
      <c r="D23" t="str">
        <f>"46.2"</f>
        <v>46.2</v>
      </c>
      <c r="E23" t="str">
        <f>"46.7"</f>
        <v>46.7</v>
      </c>
      <c r="F23" t="str">
        <f>"18.6"</f>
        <v>18.6</v>
      </c>
      <c r="G23" t="str">
        <f>""</f>
        <v/>
      </c>
      <c r="H23" t="str">
        <f>"20.0"</f>
        <v>20.0</v>
      </c>
      <c r="I23" t="str">
        <f>""</f>
        <v/>
      </c>
      <c r="J23" t="str">
        <f>"20.9"</f>
        <v>20.9</v>
      </c>
      <c r="K23" t="str">
        <f>""</f>
        <v/>
      </c>
      <c r="L23" t="str">
        <f>"19.8"</f>
        <v>19.8</v>
      </c>
      <c r="M23" t="str">
        <f>""</f>
        <v/>
      </c>
      <c r="N23" t="str">
        <f>"17.7"</f>
        <v>17.7</v>
      </c>
      <c r="O23" t="str">
        <f>""</f>
        <v/>
      </c>
      <c r="P23" t="str">
        <f>""</f>
        <v/>
      </c>
      <c r="Q23" t="str">
        <f>""</f>
        <v/>
      </c>
      <c r="R23" t="str">
        <f>""</f>
        <v/>
      </c>
      <c r="S23" t="str">
        <f>""</f>
        <v/>
      </c>
      <c r="T23" t="str">
        <f>"189.9"</f>
        <v>189.9</v>
      </c>
    </row>
    <row r="24" spans="1:20" x14ac:dyDescent="0.25">
      <c r="A24">
        <v>5</v>
      </c>
      <c r="B24" t="str">
        <f>"Regala, William (386616)"</f>
        <v>Regala, William (386616)</v>
      </c>
      <c r="C24" t="str">
        <f>"Burke, VA"</f>
        <v>Burke, VA</v>
      </c>
      <c r="D24" t="str">
        <f>"47.6"</f>
        <v>47.6</v>
      </c>
      <c r="E24" t="str">
        <f>"47.2"</f>
        <v>47.2</v>
      </c>
      <c r="F24" t="str">
        <f>"19.1"</f>
        <v>19.1</v>
      </c>
      <c r="G24" t="str">
        <f>""</f>
        <v/>
      </c>
      <c r="H24" t="str">
        <f>"19.4"</f>
        <v>19.4</v>
      </c>
      <c r="I24" t="str">
        <f>""</f>
        <v/>
      </c>
      <c r="J24" t="str">
        <f>"17.8"</f>
        <v>17.8</v>
      </c>
      <c r="K24" t="str">
        <f>""</f>
        <v/>
      </c>
      <c r="L24" t="str">
        <f>"18.4"</f>
        <v>18.4</v>
      </c>
      <c r="M24" t="str">
        <f>""</f>
        <v/>
      </c>
      <c r="N24" t="str">
        <f>""</f>
        <v/>
      </c>
      <c r="O24" t="str">
        <f>""</f>
        <v/>
      </c>
      <c r="P24" t="str">
        <f>""</f>
        <v/>
      </c>
      <c r="Q24" t="str">
        <f>""</f>
        <v/>
      </c>
      <c r="R24" t="str">
        <f>""</f>
        <v/>
      </c>
      <c r="S24" t="str">
        <f>""</f>
        <v/>
      </c>
      <c r="T24" t="str">
        <f>"169.5"</f>
        <v>169.5</v>
      </c>
    </row>
    <row r="25" spans="1:20" x14ac:dyDescent="0.25">
      <c r="A25">
        <v>6</v>
      </c>
      <c r="B25" t="str">
        <f>"Carbaugh, Nathan (462066)"</f>
        <v>Carbaugh, Nathan (462066)</v>
      </c>
      <c r="C25" t="str">
        <f>"Herndon, VA"</f>
        <v>Herndon, VA</v>
      </c>
      <c r="D25" t="str">
        <f>"45.5"</f>
        <v>45.5</v>
      </c>
      <c r="E25" t="str">
        <f>"48.7"</f>
        <v>48.7</v>
      </c>
      <c r="F25" t="str">
        <f>"16.9"</f>
        <v>16.9</v>
      </c>
      <c r="G25" t="str">
        <f>""</f>
        <v/>
      </c>
      <c r="H25" t="str">
        <f>"19.0"</f>
        <v>19.0</v>
      </c>
      <c r="I25" t="str">
        <f>""</f>
        <v/>
      </c>
      <c r="J25" t="str">
        <f>"18.6"</f>
        <v>18.6</v>
      </c>
      <c r="K25" t="str">
        <f>""</f>
        <v/>
      </c>
      <c r="L25" t="str">
        <f>""</f>
        <v/>
      </c>
      <c r="M25" t="str">
        <f>""</f>
        <v/>
      </c>
      <c r="N25" t="str">
        <f>""</f>
        <v/>
      </c>
      <c r="O25" t="str">
        <f>""</f>
        <v/>
      </c>
      <c r="P25" t="str">
        <f>""</f>
        <v/>
      </c>
      <c r="Q25" t="str">
        <f>""</f>
        <v/>
      </c>
      <c r="R25" t="str">
        <f>""</f>
        <v/>
      </c>
      <c r="S25" t="str">
        <f>""</f>
        <v/>
      </c>
      <c r="T25" t="str">
        <f>"148.7"</f>
        <v>148.7</v>
      </c>
    </row>
    <row r="26" spans="1:20" x14ac:dyDescent="0.25">
      <c r="A26">
        <v>7</v>
      </c>
      <c r="B26" t="str">
        <f>"Langerak, Evan (412213)"</f>
        <v>Langerak, Evan (412213)</v>
      </c>
      <c r="C26" t="str">
        <f>"Bemidji, MN"</f>
        <v>Bemidji, MN</v>
      </c>
      <c r="D26" t="str">
        <f>"43.8"</f>
        <v>43.8</v>
      </c>
      <c r="E26" t="str">
        <f>"46.5"</f>
        <v>46.5</v>
      </c>
      <c r="F26" t="str">
        <f>"18.9"</f>
        <v>18.9</v>
      </c>
      <c r="G26" t="str">
        <f>""</f>
        <v/>
      </c>
      <c r="H26" t="str">
        <f>"19.9"</f>
        <v>19.9</v>
      </c>
      <c r="I26" t="str">
        <f>""</f>
        <v/>
      </c>
      <c r="J26" t="str">
        <f>""</f>
        <v/>
      </c>
      <c r="K26" t="str">
        <f>""</f>
        <v/>
      </c>
      <c r="L26" t="str">
        <f>""</f>
        <v/>
      </c>
      <c r="M26" t="str">
        <f>""</f>
        <v/>
      </c>
      <c r="N26" t="str">
        <f>""</f>
        <v/>
      </c>
      <c r="O26" t="str">
        <f>""</f>
        <v/>
      </c>
      <c r="P26" t="str">
        <f>""</f>
        <v/>
      </c>
      <c r="Q26" t="str">
        <f>""</f>
        <v/>
      </c>
      <c r="R26" t="str">
        <f>""</f>
        <v/>
      </c>
      <c r="S26" t="str">
        <f>""</f>
        <v/>
      </c>
      <c r="T26" t="str">
        <f>"129.1"</f>
        <v>129.1</v>
      </c>
    </row>
    <row r="27" spans="1:20" x14ac:dyDescent="0.25">
      <c r="A27">
        <v>8</v>
      </c>
      <c r="B27" t="str">
        <f>"Bergman, Dalton (279871)"</f>
        <v>Bergman, Dalton (279871)</v>
      </c>
      <c r="C27" t="str">
        <f>"Oak Harbor, OH"</f>
        <v>Oak Harbor, OH</v>
      </c>
      <c r="D27" t="str">
        <f>"46.5"</f>
        <v>46.5</v>
      </c>
      <c r="E27" t="str">
        <f>"38.2"</f>
        <v>38.2</v>
      </c>
      <c r="F27" t="str">
        <f>"17.6"</f>
        <v>17.6</v>
      </c>
      <c r="G27" t="str">
        <f>""</f>
        <v/>
      </c>
      <c r="H27" t="str">
        <f>""</f>
        <v/>
      </c>
      <c r="I27" t="str">
        <f>""</f>
        <v/>
      </c>
      <c r="J27" t="str">
        <f>""</f>
        <v/>
      </c>
      <c r="K27" t="str">
        <f>""</f>
        <v/>
      </c>
      <c r="L27" t="str">
        <f>""</f>
        <v/>
      </c>
      <c r="M27" t="str">
        <f>""</f>
        <v/>
      </c>
      <c r="N27" t="str">
        <f>""</f>
        <v/>
      </c>
      <c r="O27" t="str">
        <f>""</f>
        <v/>
      </c>
      <c r="P27" t="str">
        <f>""</f>
        <v/>
      </c>
      <c r="Q27" t="str">
        <f>""</f>
        <v/>
      </c>
      <c r="R27" t="str">
        <f>""</f>
        <v/>
      </c>
      <c r="S27" t="str">
        <f>""</f>
        <v/>
      </c>
      <c r="T27" t="str">
        <f>"102.3"</f>
        <v>102.3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C53F-F476-490F-9C20-01961A3CDC7C}">
  <dimension ref="A1:K6"/>
  <sheetViews>
    <sheetView workbookViewId="0">
      <selection activeCell="M25" sqref="M25"/>
    </sheetView>
  </sheetViews>
  <sheetFormatPr defaultRowHeight="15" x14ac:dyDescent="0.25"/>
  <sheetData>
    <row r="1" spans="1:11" x14ac:dyDescent="0.25">
      <c r="A1" t="str">
        <f>"2024 USAS Winter Air Gun Camp Perry"</f>
        <v>2024 USAS Winter Air Gun Camp Perry</v>
      </c>
    </row>
    <row r="2" spans="1:11" x14ac:dyDescent="0.25">
      <c r="A2" t="str">
        <f>"Para Prone R5"</f>
        <v>Para Prone R5</v>
      </c>
    </row>
    <row r="3" spans="1:11" x14ac:dyDescent="0.25">
      <c r="A3" t="str">
        <f>""</f>
        <v/>
      </c>
    </row>
    <row r="4" spans="1:11" x14ac:dyDescent="0.25">
      <c r="A4" t="str">
        <f>"Place"</f>
        <v>Place</v>
      </c>
      <c r="B4" t="str">
        <f>"Competitor (Comp Num)"</f>
        <v>Competitor (Comp Num)</v>
      </c>
      <c r="C4" t="str">
        <f>"Stage"</f>
        <v>Stage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 t="str">
        <f>"Total"</f>
        <v>Total</v>
      </c>
      <c r="K4" t="str">
        <f>"Qualification"</f>
        <v>Qualification</v>
      </c>
    </row>
    <row r="5" spans="1:11" x14ac:dyDescent="0.25">
      <c r="A5">
        <v>1</v>
      </c>
      <c r="B5" t="str">
        <f>"Tadpatri, Haricharan (400435)"</f>
        <v>Tadpatri, Haricharan (400435)</v>
      </c>
      <c r="C5" t="str">
        <f>" Day 1"</f>
        <v xml:space="preserve"> Day 1</v>
      </c>
      <c r="D5" t="str">
        <f>"98.5"</f>
        <v>98.5</v>
      </c>
      <c r="E5" t="str">
        <f>"101.7"</f>
        <v>101.7</v>
      </c>
      <c r="F5" t="str">
        <f>"99.2"</f>
        <v>99.2</v>
      </c>
      <c r="G5" t="str">
        <f>"101.6"</f>
        <v>101.6</v>
      </c>
      <c r="H5" t="str">
        <f>"101.0"</f>
        <v>101.0</v>
      </c>
      <c r="I5" t="str">
        <f>"95.8"</f>
        <v>95.8</v>
      </c>
      <c r="J5" t="str">
        <f>"597.8"</f>
        <v>597.8</v>
      </c>
      <c r="K5" t="str">
        <f>""</f>
        <v/>
      </c>
    </row>
    <row r="6" spans="1:11" x14ac:dyDescent="0.25">
      <c r="A6" t="str">
        <f>""</f>
        <v/>
      </c>
      <c r="B6" t="str">
        <f>""</f>
        <v/>
      </c>
      <c r="C6" t="str">
        <f>" Day 2"</f>
        <v xml:space="preserve"> Day 2</v>
      </c>
      <c r="D6" t="str">
        <f>"96.5"</f>
        <v>96.5</v>
      </c>
      <c r="E6" t="str">
        <f>"97.8"</f>
        <v>97.8</v>
      </c>
      <c r="F6" t="str">
        <f>"100.3"</f>
        <v>100.3</v>
      </c>
      <c r="G6" t="str">
        <f>"93.8"</f>
        <v>93.8</v>
      </c>
      <c r="H6" t="str">
        <f>"97.6"</f>
        <v>97.6</v>
      </c>
      <c r="I6" t="str">
        <f>"100.7"</f>
        <v>100.7</v>
      </c>
      <c r="J6" t="str">
        <f>"586.7"</f>
        <v>586.7</v>
      </c>
      <c r="K6" t="str">
        <f>"1,184.5"</f>
        <v>1,184.5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WAR</vt:lpstr>
      <vt:lpstr>WAR Finals</vt:lpstr>
      <vt:lpstr>MAR</vt:lpstr>
      <vt:lpstr>MAR Finals</vt:lpstr>
      <vt:lpstr>WAP</vt:lpstr>
      <vt:lpstr>WAP Finals</vt:lpstr>
      <vt:lpstr>MAP</vt:lpstr>
      <vt:lpstr>MAP Finals</vt:lpstr>
      <vt:lpstr>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MacAllister</dc:creator>
  <cp:lastModifiedBy>Ashley MacAllister</cp:lastModifiedBy>
  <dcterms:created xsi:type="dcterms:W3CDTF">2026-07-02T12:42:13Z</dcterms:created>
  <dcterms:modified xsi:type="dcterms:W3CDTF">2026-07-02T12:42:13Z</dcterms:modified>
</cp:coreProperties>
</file>