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5 WAG/"/>
    </mc:Choice>
  </mc:AlternateContent>
  <xr:revisionPtr revIDLastSave="0" documentId="8_{1F752439-C5C8-4B0C-B725-F43832BED960}" xr6:coauthVersionLast="47" xr6:coauthVersionMax="47" xr10:uidLastSave="{00000000-0000-0000-0000-000000000000}"/>
  <bookViews>
    <workbookView xWindow="-57720" yWindow="-1200" windowWidth="29040" windowHeight="15720" xr2:uid="{F94B8A7A-A607-4922-BFD6-6E14E64B234A}"/>
  </bookViews>
  <sheets>
    <sheet name="WAR" sheetId="3" r:id="rId1"/>
    <sheet name="WAR Finals" sheetId="1" r:id="rId2"/>
    <sheet name="MAR" sheetId="4" r:id="rId3"/>
    <sheet name="MAR Finals" sheetId="2" r:id="rId4"/>
    <sheet name="Para" sheetId="5" r:id="rId5"/>
    <sheet name="WAP" sheetId="8" r:id="rId6"/>
    <sheet name="WAP Finals" sheetId="6" r:id="rId7"/>
    <sheet name="MAP" sheetId="9" r:id="rId8"/>
    <sheet name="MAP Finals" sheetId="7" r:id="rId9"/>
  </sheets>
  <calcPr calcId="0"/>
</workbook>
</file>

<file path=xl/calcChain.xml><?xml version="1.0" encoding="utf-8"?>
<calcChain xmlns="http://schemas.openxmlformats.org/spreadsheetml/2006/main">
  <c r="F35" i="9" l="1"/>
  <c r="E35" i="9"/>
  <c r="D35" i="9"/>
  <c r="C35" i="9"/>
  <c r="B35" i="9"/>
  <c r="F34" i="9"/>
  <c r="E34" i="9"/>
  <c r="D34" i="9"/>
  <c r="C34" i="9"/>
  <c r="B34" i="9"/>
  <c r="F33" i="9"/>
  <c r="E33" i="9"/>
  <c r="D33" i="9"/>
  <c r="C33" i="9"/>
  <c r="B33" i="9"/>
  <c r="F32" i="9"/>
  <c r="E32" i="9"/>
  <c r="D32" i="9"/>
  <c r="C32" i="9"/>
  <c r="B32" i="9"/>
  <c r="F31" i="9"/>
  <c r="E31" i="9"/>
  <c r="D31" i="9"/>
  <c r="C31" i="9"/>
  <c r="B31" i="9"/>
  <c r="F30" i="9"/>
  <c r="E30" i="9"/>
  <c r="D30" i="9"/>
  <c r="C30" i="9"/>
  <c r="B30" i="9"/>
  <c r="F29" i="9"/>
  <c r="E29" i="9"/>
  <c r="D29" i="9"/>
  <c r="C29" i="9"/>
  <c r="B29" i="9"/>
  <c r="F28" i="9"/>
  <c r="E28" i="9"/>
  <c r="D28" i="9"/>
  <c r="C28" i="9"/>
  <c r="B28" i="9"/>
  <c r="F27" i="9"/>
  <c r="E27" i="9"/>
  <c r="D27" i="9"/>
  <c r="C27" i="9"/>
  <c r="B27" i="9"/>
  <c r="F26" i="9"/>
  <c r="E26" i="9"/>
  <c r="D26" i="9"/>
  <c r="C26" i="9"/>
  <c r="B26" i="9"/>
  <c r="F25" i="9"/>
  <c r="E25" i="9"/>
  <c r="D25" i="9"/>
  <c r="C25" i="9"/>
  <c r="B25" i="9"/>
  <c r="F24" i="9"/>
  <c r="E24" i="9"/>
  <c r="D24" i="9"/>
  <c r="C24" i="9"/>
  <c r="B24" i="9"/>
  <c r="F23" i="9"/>
  <c r="E23" i="9"/>
  <c r="D23" i="9"/>
  <c r="C23" i="9"/>
  <c r="B23" i="9"/>
  <c r="F22" i="9"/>
  <c r="E22" i="9"/>
  <c r="D22" i="9"/>
  <c r="C22" i="9"/>
  <c r="B22" i="9"/>
  <c r="F21" i="9"/>
  <c r="E21" i="9"/>
  <c r="D21" i="9"/>
  <c r="C21" i="9"/>
  <c r="B21" i="9"/>
  <c r="F20" i="9"/>
  <c r="E20" i="9"/>
  <c r="D20" i="9"/>
  <c r="C20" i="9"/>
  <c r="B20" i="9"/>
  <c r="F19" i="9"/>
  <c r="E19" i="9"/>
  <c r="D19" i="9"/>
  <c r="C19" i="9"/>
  <c r="B19" i="9"/>
  <c r="F18" i="9"/>
  <c r="E18" i="9"/>
  <c r="D18" i="9"/>
  <c r="C18" i="9"/>
  <c r="B18" i="9"/>
  <c r="F17" i="9"/>
  <c r="E17" i="9"/>
  <c r="D17" i="9"/>
  <c r="C17" i="9"/>
  <c r="B17" i="9"/>
  <c r="F16" i="9"/>
  <c r="E16" i="9"/>
  <c r="D16" i="9"/>
  <c r="C16" i="9"/>
  <c r="B16" i="9"/>
  <c r="F15" i="9"/>
  <c r="E15" i="9"/>
  <c r="D15" i="9"/>
  <c r="C15" i="9"/>
  <c r="B15" i="9"/>
  <c r="F14" i="9"/>
  <c r="E14" i="9"/>
  <c r="D14" i="9"/>
  <c r="C14" i="9"/>
  <c r="B14" i="9"/>
  <c r="F13" i="9"/>
  <c r="E13" i="9"/>
  <c r="D13" i="9"/>
  <c r="C13" i="9"/>
  <c r="B13" i="9"/>
  <c r="F12" i="9"/>
  <c r="E12" i="9"/>
  <c r="D12" i="9"/>
  <c r="C12" i="9"/>
  <c r="B12" i="9"/>
  <c r="F11" i="9"/>
  <c r="E11" i="9"/>
  <c r="D11" i="9"/>
  <c r="C11" i="9"/>
  <c r="B11" i="9"/>
  <c r="F10" i="9"/>
  <c r="E10" i="9"/>
  <c r="D10" i="9"/>
  <c r="C10" i="9"/>
  <c r="B10" i="9"/>
  <c r="F9" i="9"/>
  <c r="E9" i="9"/>
  <c r="D9" i="9"/>
  <c r="C9" i="9"/>
  <c r="B9" i="9"/>
  <c r="F8" i="9"/>
  <c r="E8" i="9"/>
  <c r="D8" i="9"/>
  <c r="C8" i="9"/>
  <c r="B8" i="9"/>
  <c r="F7" i="9"/>
  <c r="E7" i="9"/>
  <c r="D7" i="9"/>
  <c r="C7" i="9"/>
  <c r="B7" i="9"/>
  <c r="F6" i="9"/>
  <c r="E6" i="9"/>
  <c r="D6" i="9"/>
  <c r="C6" i="9"/>
  <c r="B6" i="9"/>
  <c r="F5" i="9"/>
  <c r="E5" i="9"/>
  <c r="D5" i="9"/>
  <c r="C5" i="9"/>
  <c r="B5" i="9"/>
  <c r="F4" i="9"/>
  <c r="E4" i="9"/>
  <c r="D4" i="9"/>
  <c r="C4" i="9"/>
  <c r="B4" i="9"/>
  <c r="A4" i="9"/>
  <c r="A3" i="9"/>
  <c r="A2" i="9"/>
  <c r="A1" i="9"/>
  <c r="F36" i="8"/>
  <c r="E36" i="8"/>
  <c r="D36" i="8"/>
  <c r="C36" i="8"/>
  <c r="B36" i="8"/>
  <c r="F35" i="8"/>
  <c r="E35" i="8"/>
  <c r="D35" i="8"/>
  <c r="C35" i="8"/>
  <c r="B35" i="8"/>
  <c r="F34" i="8"/>
  <c r="E34" i="8"/>
  <c r="D34" i="8"/>
  <c r="C34" i="8"/>
  <c r="B34" i="8"/>
  <c r="F33" i="8"/>
  <c r="E33" i="8"/>
  <c r="D33" i="8"/>
  <c r="C33" i="8"/>
  <c r="B33" i="8"/>
  <c r="F32" i="8"/>
  <c r="E32" i="8"/>
  <c r="D32" i="8"/>
  <c r="C32" i="8"/>
  <c r="B32" i="8"/>
  <c r="F31" i="8"/>
  <c r="E31" i="8"/>
  <c r="D31" i="8"/>
  <c r="C31" i="8"/>
  <c r="B31" i="8"/>
  <c r="F30" i="8"/>
  <c r="E30" i="8"/>
  <c r="D30" i="8"/>
  <c r="C30" i="8"/>
  <c r="B30" i="8"/>
  <c r="F29" i="8"/>
  <c r="E29" i="8"/>
  <c r="D29" i="8"/>
  <c r="C29" i="8"/>
  <c r="B29" i="8"/>
  <c r="F28" i="8"/>
  <c r="E28" i="8"/>
  <c r="D28" i="8"/>
  <c r="C28" i="8"/>
  <c r="B28" i="8"/>
  <c r="F27" i="8"/>
  <c r="E27" i="8"/>
  <c r="D27" i="8"/>
  <c r="C27" i="8"/>
  <c r="B27" i="8"/>
  <c r="F26" i="8"/>
  <c r="E26" i="8"/>
  <c r="D26" i="8"/>
  <c r="C26" i="8"/>
  <c r="B26" i="8"/>
  <c r="F25" i="8"/>
  <c r="E25" i="8"/>
  <c r="D25" i="8"/>
  <c r="C25" i="8"/>
  <c r="B25" i="8"/>
  <c r="F24" i="8"/>
  <c r="E24" i="8"/>
  <c r="D24" i="8"/>
  <c r="C24" i="8"/>
  <c r="B24" i="8"/>
  <c r="F23" i="8"/>
  <c r="E23" i="8"/>
  <c r="D23" i="8"/>
  <c r="C23" i="8"/>
  <c r="B23" i="8"/>
  <c r="F22" i="8"/>
  <c r="E22" i="8"/>
  <c r="D22" i="8"/>
  <c r="C22" i="8"/>
  <c r="B22" i="8"/>
  <c r="F21" i="8"/>
  <c r="E21" i="8"/>
  <c r="D21" i="8"/>
  <c r="C21" i="8"/>
  <c r="B21" i="8"/>
  <c r="F20" i="8"/>
  <c r="E20" i="8"/>
  <c r="D20" i="8"/>
  <c r="C20" i="8"/>
  <c r="B20" i="8"/>
  <c r="F19" i="8"/>
  <c r="E19" i="8"/>
  <c r="D19" i="8"/>
  <c r="C19" i="8"/>
  <c r="B19" i="8"/>
  <c r="F18" i="8"/>
  <c r="E18" i="8"/>
  <c r="D18" i="8"/>
  <c r="C18" i="8"/>
  <c r="B18" i="8"/>
  <c r="F17" i="8"/>
  <c r="E17" i="8"/>
  <c r="D17" i="8"/>
  <c r="C17" i="8"/>
  <c r="B17" i="8"/>
  <c r="F16" i="8"/>
  <c r="E16" i="8"/>
  <c r="D16" i="8"/>
  <c r="C16" i="8"/>
  <c r="B16" i="8"/>
  <c r="F15" i="8"/>
  <c r="E15" i="8"/>
  <c r="D15" i="8"/>
  <c r="C15" i="8"/>
  <c r="B15" i="8"/>
  <c r="F14" i="8"/>
  <c r="E14" i="8"/>
  <c r="D14" i="8"/>
  <c r="C14" i="8"/>
  <c r="B14" i="8"/>
  <c r="F13" i="8"/>
  <c r="E13" i="8"/>
  <c r="D13" i="8"/>
  <c r="C13" i="8"/>
  <c r="B13" i="8"/>
  <c r="F12" i="8"/>
  <c r="E12" i="8"/>
  <c r="D12" i="8"/>
  <c r="C12" i="8"/>
  <c r="B12" i="8"/>
  <c r="F11" i="8"/>
  <c r="E11" i="8"/>
  <c r="D11" i="8"/>
  <c r="C11" i="8"/>
  <c r="B11" i="8"/>
  <c r="F10" i="8"/>
  <c r="E10" i="8"/>
  <c r="D10" i="8"/>
  <c r="C10" i="8"/>
  <c r="B10" i="8"/>
  <c r="F9" i="8"/>
  <c r="E9" i="8"/>
  <c r="D9" i="8"/>
  <c r="C9" i="8"/>
  <c r="B9" i="8"/>
  <c r="F8" i="8"/>
  <c r="E8" i="8"/>
  <c r="D8" i="8"/>
  <c r="C8" i="8"/>
  <c r="B8" i="8"/>
  <c r="F7" i="8"/>
  <c r="E7" i="8"/>
  <c r="D7" i="8"/>
  <c r="C7" i="8"/>
  <c r="B7" i="8"/>
  <c r="F6" i="8"/>
  <c r="E6" i="8"/>
  <c r="D6" i="8"/>
  <c r="C6" i="8"/>
  <c r="B6" i="8"/>
  <c r="F5" i="8"/>
  <c r="E5" i="8"/>
  <c r="D5" i="8"/>
  <c r="C5" i="8"/>
  <c r="B5" i="8"/>
  <c r="F4" i="8"/>
  <c r="E4" i="8"/>
  <c r="D4" i="8"/>
  <c r="C4" i="8"/>
  <c r="B4" i="8"/>
  <c r="A4" i="8"/>
  <c r="A3" i="8"/>
  <c r="A2" i="8"/>
  <c r="A1" i="8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A18" i="7"/>
  <c r="A17" i="7"/>
  <c r="A16" i="7"/>
  <c r="A15" i="7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A18" i="6"/>
  <c r="A17" i="6"/>
  <c r="A16" i="6"/>
  <c r="A15" i="6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B4" i="7"/>
  <c r="A4" i="7"/>
  <c r="A3" i="7"/>
  <c r="A2" i="7"/>
  <c r="A1" i="7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B4" i="6"/>
  <c r="A4" i="6"/>
  <c r="A3" i="6"/>
  <c r="A2" i="6"/>
  <c r="A1" i="6"/>
  <c r="K15" i="5"/>
  <c r="J15" i="5"/>
  <c r="I15" i="5"/>
  <c r="H15" i="5"/>
  <c r="G15" i="5"/>
  <c r="F15" i="5"/>
  <c r="E15" i="5"/>
  <c r="D15" i="5"/>
  <c r="C15" i="5"/>
  <c r="B15" i="5"/>
  <c r="A15" i="5"/>
  <c r="K14" i="5"/>
  <c r="J14" i="5"/>
  <c r="I14" i="5"/>
  <c r="H14" i="5"/>
  <c r="G14" i="5"/>
  <c r="F14" i="5"/>
  <c r="E14" i="5"/>
  <c r="D14" i="5"/>
  <c r="C14" i="5"/>
  <c r="B14" i="5"/>
  <c r="K13" i="5"/>
  <c r="J13" i="5"/>
  <c r="C13" i="5"/>
  <c r="B13" i="5"/>
  <c r="A13" i="5"/>
  <c r="A12" i="5"/>
  <c r="A11" i="5"/>
  <c r="A10" i="5"/>
  <c r="E6" i="5"/>
  <c r="D6" i="5"/>
  <c r="C6" i="5"/>
  <c r="B6" i="5"/>
  <c r="E5" i="5"/>
  <c r="D5" i="5"/>
  <c r="C5" i="5"/>
  <c r="B5" i="5"/>
  <c r="E4" i="5"/>
  <c r="D4" i="5"/>
  <c r="C4" i="5"/>
  <c r="B4" i="5"/>
  <c r="A4" i="5"/>
  <c r="A3" i="5"/>
  <c r="A2" i="5"/>
  <c r="A1" i="5"/>
  <c r="F95" i="4"/>
  <c r="E95" i="4"/>
  <c r="D95" i="4"/>
  <c r="C95" i="4"/>
  <c r="B95" i="4"/>
  <c r="F94" i="4"/>
  <c r="E94" i="4"/>
  <c r="D94" i="4"/>
  <c r="C94" i="4"/>
  <c r="B94" i="4"/>
  <c r="F93" i="4"/>
  <c r="E93" i="4"/>
  <c r="D93" i="4"/>
  <c r="C93" i="4"/>
  <c r="B93" i="4"/>
  <c r="F92" i="4"/>
  <c r="E92" i="4"/>
  <c r="D92" i="4"/>
  <c r="C92" i="4"/>
  <c r="B92" i="4"/>
  <c r="F91" i="4"/>
  <c r="E91" i="4"/>
  <c r="D91" i="4"/>
  <c r="C91" i="4"/>
  <c r="B91" i="4"/>
  <c r="F90" i="4"/>
  <c r="E90" i="4"/>
  <c r="D90" i="4"/>
  <c r="C90" i="4"/>
  <c r="B90" i="4"/>
  <c r="F89" i="4"/>
  <c r="E89" i="4"/>
  <c r="D89" i="4"/>
  <c r="C89" i="4"/>
  <c r="B89" i="4"/>
  <c r="F88" i="4"/>
  <c r="E88" i="4"/>
  <c r="D88" i="4"/>
  <c r="C88" i="4"/>
  <c r="B88" i="4"/>
  <c r="F87" i="4"/>
  <c r="E87" i="4"/>
  <c r="D87" i="4"/>
  <c r="C87" i="4"/>
  <c r="B87" i="4"/>
  <c r="F86" i="4"/>
  <c r="E86" i="4"/>
  <c r="D86" i="4"/>
  <c r="C86" i="4"/>
  <c r="B86" i="4"/>
  <c r="F85" i="4"/>
  <c r="E85" i="4"/>
  <c r="D85" i="4"/>
  <c r="C85" i="4"/>
  <c r="B85" i="4"/>
  <c r="F84" i="4"/>
  <c r="E84" i="4"/>
  <c r="D84" i="4"/>
  <c r="C84" i="4"/>
  <c r="B84" i="4"/>
  <c r="F83" i="4"/>
  <c r="E83" i="4"/>
  <c r="D83" i="4"/>
  <c r="C83" i="4"/>
  <c r="B83" i="4"/>
  <c r="F82" i="4"/>
  <c r="E82" i="4"/>
  <c r="D82" i="4"/>
  <c r="C82" i="4"/>
  <c r="B82" i="4"/>
  <c r="F81" i="4"/>
  <c r="E81" i="4"/>
  <c r="D81" i="4"/>
  <c r="C81" i="4"/>
  <c r="B81" i="4"/>
  <c r="F80" i="4"/>
  <c r="E80" i="4"/>
  <c r="D80" i="4"/>
  <c r="C80" i="4"/>
  <c r="B80" i="4"/>
  <c r="F79" i="4"/>
  <c r="E79" i="4"/>
  <c r="D79" i="4"/>
  <c r="C79" i="4"/>
  <c r="B79" i="4"/>
  <c r="F78" i="4"/>
  <c r="E78" i="4"/>
  <c r="D78" i="4"/>
  <c r="C78" i="4"/>
  <c r="B78" i="4"/>
  <c r="F77" i="4"/>
  <c r="E77" i="4"/>
  <c r="D77" i="4"/>
  <c r="C77" i="4"/>
  <c r="B77" i="4"/>
  <c r="F76" i="4"/>
  <c r="E76" i="4"/>
  <c r="D76" i="4"/>
  <c r="C76" i="4"/>
  <c r="B76" i="4"/>
  <c r="F75" i="4"/>
  <c r="E75" i="4"/>
  <c r="D75" i="4"/>
  <c r="C75" i="4"/>
  <c r="B75" i="4"/>
  <c r="F74" i="4"/>
  <c r="E74" i="4"/>
  <c r="D74" i="4"/>
  <c r="C74" i="4"/>
  <c r="B74" i="4"/>
  <c r="F73" i="4"/>
  <c r="E73" i="4"/>
  <c r="D73" i="4"/>
  <c r="C73" i="4"/>
  <c r="B73" i="4"/>
  <c r="F72" i="4"/>
  <c r="E72" i="4"/>
  <c r="D72" i="4"/>
  <c r="C72" i="4"/>
  <c r="B72" i="4"/>
  <c r="F71" i="4"/>
  <c r="E71" i="4"/>
  <c r="D71" i="4"/>
  <c r="C71" i="4"/>
  <c r="B71" i="4"/>
  <c r="F70" i="4"/>
  <c r="E70" i="4"/>
  <c r="D70" i="4"/>
  <c r="C70" i="4"/>
  <c r="B70" i="4"/>
  <c r="F69" i="4"/>
  <c r="E69" i="4"/>
  <c r="D69" i="4"/>
  <c r="C69" i="4"/>
  <c r="B69" i="4"/>
  <c r="F68" i="4"/>
  <c r="E68" i="4"/>
  <c r="D68" i="4"/>
  <c r="C68" i="4"/>
  <c r="B68" i="4"/>
  <c r="F67" i="4"/>
  <c r="E67" i="4"/>
  <c r="D67" i="4"/>
  <c r="C67" i="4"/>
  <c r="B67" i="4"/>
  <c r="F66" i="4"/>
  <c r="E66" i="4"/>
  <c r="D66" i="4"/>
  <c r="C66" i="4"/>
  <c r="B66" i="4"/>
  <c r="F65" i="4"/>
  <c r="E65" i="4"/>
  <c r="D65" i="4"/>
  <c r="C65" i="4"/>
  <c r="B65" i="4"/>
  <c r="F64" i="4"/>
  <c r="E64" i="4"/>
  <c r="D64" i="4"/>
  <c r="C64" i="4"/>
  <c r="B64" i="4"/>
  <c r="F63" i="4"/>
  <c r="E63" i="4"/>
  <c r="D63" i="4"/>
  <c r="C63" i="4"/>
  <c r="B63" i="4"/>
  <c r="F62" i="4"/>
  <c r="E62" i="4"/>
  <c r="D62" i="4"/>
  <c r="C62" i="4"/>
  <c r="B62" i="4"/>
  <c r="F61" i="4"/>
  <c r="E61" i="4"/>
  <c r="D61" i="4"/>
  <c r="C61" i="4"/>
  <c r="B61" i="4"/>
  <c r="F60" i="4"/>
  <c r="E60" i="4"/>
  <c r="D60" i="4"/>
  <c r="C60" i="4"/>
  <c r="B60" i="4"/>
  <c r="F59" i="4"/>
  <c r="E59" i="4"/>
  <c r="D59" i="4"/>
  <c r="C59" i="4"/>
  <c r="B59" i="4"/>
  <c r="F58" i="4"/>
  <c r="E58" i="4"/>
  <c r="D58" i="4"/>
  <c r="C58" i="4"/>
  <c r="B58" i="4"/>
  <c r="F57" i="4"/>
  <c r="E57" i="4"/>
  <c r="D57" i="4"/>
  <c r="C57" i="4"/>
  <c r="B57" i="4"/>
  <c r="F56" i="4"/>
  <c r="E56" i="4"/>
  <c r="D56" i="4"/>
  <c r="C56" i="4"/>
  <c r="B56" i="4"/>
  <c r="F55" i="4"/>
  <c r="E55" i="4"/>
  <c r="D55" i="4"/>
  <c r="C55" i="4"/>
  <c r="B55" i="4"/>
  <c r="F54" i="4"/>
  <c r="E54" i="4"/>
  <c r="D54" i="4"/>
  <c r="C54" i="4"/>
  <c r="B54" i="4"/>
  <c r="F53" i="4"/>
  <c r="E53" i="4"/>
  <c r="D53" i="4"/>
  <c r="C53" i="4"/>
  <c r="B53" i="4"/>
  <c r="F52" i="4"/>
  <c r="E52" i="4"/>
  <c r="D52" i="4"/>
  <c r="C52" i="4"/>
  <c r="B52" i="4"/>
  <c r="F51" i="4"/>
  <c r="E51" i="4"/>
  <c r="D51" i="4"/>
  <c r="C51" i="4"/>
  <c r="B51" i="4"/>
  <c r="F50" i="4"/>
  <c r="E50" i="4"/>
  <c r="D50" i="4"/>
  <c r="C50" i="4"/>
  <c r="B50" i="4"/>
  <c r="F49" i="4"/>
  <c r="E49" i="4"/>
  <c r="D49" i="4"/>
  <c r="C49" i="4"/>
  <c r="B49" i="4"/>
  <c r="F48" i="4"/>
  <c r="E48" i="4"/>
  <c r="D48" i="4"/>
  <c r="C48" i="4"/>
  <c r="B48" i="4"/>
  <c r="F47" i="4"/>
  <c r="E47" i="4"/>
  <c r="D47" i="4"/>
  <c r="C47" i="4"/>
  <c r="B47" i="4"/>
  <c r="F46" i="4"/>
  <c r="E46" i="4"/>
  <c r="D46" i="4"/>
  <c r="C46" i="4"/>
  <c r="B46" i="4"/>
  <c r="F45" i="4"/>
  <c r="E45" i="4"/>
  <c r="D45" i="4"/>
  <c r="C45" i="4"/>
  <c r="B45" i="4"/>
  <c r="F44" i="4"/>
  <c r="E44" i="4"/>
  <c r="D44" i="4"/>
  <c r="C44" i="4"/>
  <c r="B44" i="4"/>
  <c r="F43" i="4"/>
  <c r="E43" i="4"/>
  <c r="D43" i="4"/>
  <c r="C43" i="4"/>
  <c r="B43" i="4"/>
  <c r="F42" i="4"/>
  <c r="E42" i="4"/>
  <c r="D42" i="4"/>
  <c r="C42" i="4"/>
  <c r="B42" i="4"/>
  <c r="F41" i="4"/>
  <c r="E41" i="4"/>
  <c r="D41" i="4"/>
  <c r="C41" i="4"/>
  <c r="B41" i="4"/>
  <c r="F40" i="4"/>
  <c r="E40" i="4"/>
  <c r="D40" i="4"/>
  <c r="C40" i="4"/>
  <c r="B40" i="4"/>
  <c r="F39" i="4"/>
  <c r="E39" i="4"/>
  <c r="D39" i="4"/>
  <c r="C39" i="4"/>
  <c r="B39" i="4"/>
  <c r="F38" i="4"/>
  <c r="E38" i="4"/>
  <c r="D38" i="4"/>
  <c r="C38" i="4"/>
  <c r="B38" i="4"/>
  <c r="F37" i="4"/>
  <c r="E37" i="4"/>
  <c r="D37" i="4"/>
  <c r="C37" i="4"/>
  <c r="B37" i="4"/>
  <c r="F36" i="4"/>
  <c r="E36" i="4"/>
  <c r="D36" i="4"/>
  <c r="C36" i="4"/>
  <c r="B36" i="4"/>
  <c r="F35" i="4"/>
  <c r="E35" i="4"/>
  <c r="D35" i="4"/>
  <c r="C35" i="4"/>
  <c r="B35" i="4"/>
  <c r="F34" i="4"/>
  <c r="E34" i="4"/>
  <c r="D34" i="4"/>
  <c r="C34" i="4"/>
  <c r="B34" i="4"/>
  <c r="F33" i="4"/>
  <c r="E33" i="4"/>
  <c r="D33" i="4"/>
  <c r="C33" i="4"/>
  <c r="B33" i="4"/>
  <c r="F32" i="4"/>
  <c r="E32" i="4"/>
  <c r="D32" i="4"/>
  <c r="C32" i="4"/>
  <c r="B32" i="4"/>
  <c r="F31" i="4"/>
  <c r="E31" i="4"/>
  <c r="D31" i="4"/>
  <c r="C31" i="4"/>
  <c r="B31" i="4"/>
  <c r="F30" i="4"/>
  <c r="E30" i="4"/>
  <c r="D30" i="4"/>
  <c r="C30" i="4"/>
  <c r="B30" i="4"/>
  <c r="F29" i="4"/>
  <c r="E29" i="4"/>
  <c r="D29" i="4"/>
  <c r="C29" i="4"/>
  <c r="B29" i="4"/>
  <c r="F28" i="4"/>
  <c r="E28" i="4"/>
  <c r="D28" i="4"/>
  <c r="C28" i="4"/>
  <c r="B28" i="4"/>
  <c r="F27" i="4"/>
  <c r="E27" i="4"/>
  <c r="D27" i="4"/>
  <c r="C27" i="4"/>
  <c r="B27" i="4"/>
  <c r="F26" i="4"/>
  <c r="E26" i="4"/>
  <c r="D26" i="4"/>
  <c r="C26" i="4"/>
  <c r="B26" i="4"/>
  <c r="F25" i="4"/>
  <c r="E25" i="4"/>
  <c r="D25" i="4"/>
  <c r="C25" i="4"/>
  <c r="B25" i="4"/>
  <c r="F24" i="4"/>
  <c r="E24" i="4"/>
  <c r="D24" i="4"/>
  <c r="C24" i="4"/>
  <c r="B24" i="4"/>
  <c r="F23" i="4"/>
  <c r="E23" i="4"/>
  <c r="D23" i="4"/>
  <c r="C23" i="4"/>
  <c r="B23" i="4"/>
  <c r="F22" i="4"/>
  <c r="E22" i="4"/>
  <c r="D22" i="4"/>
  <c r="C22" i="4"/>
  <c r="B22" i="4"/>
  <c r="F21" i="4"/>
  <c r="E21" i="4"/>
  <c r="D21" i="4"/>
  <c r="C21" i="4"/>
  <c r="B21" i="4"/>
  <c r="F20" i="4"/>
  <c r="E20" i="4"/>
  <c r="D20" i="4"/>
  <c r="C20" i="4"/>
  <c r="B20" i="4"/>
  <c r="F19" i="4"/>
  <c r="E19" i="4"/>
  <c r="D19" i="4"/>
  <c r="C19" i="4"/>
  <c r="B19" i="4"/>
  <c r="F18" i="4"/>
  <c r="E18" i="4"/>
  <c r="D18" i="4"/>
  <c r="C18" i="4"/>
  <c r="B18" i="4"/>
  <c r="F17" i="4"/>
  <c r="E17" i="4"/>
  <c r="D17" i="4"/>
  <c r="C17" i="4"/>
  <c r="B17" i="4"/>
  <c r="F16" i="4"/>
  <c r="E16" i="4"/>
  <c r="D16" i="4"/>
  <c r="C16" i="4"/>
  <c r="B16" i="4"/>
  <c r="F15" i="4"/>
  <c r="E15" i="4"/>
  <c r="D15" i="4"/>
  <c r="C15" i="4"/>
  <c r="B15" i="4"/>
  <c r="F14" i="4"/>
  <c r="E14" i="4"/>
  <c r="D14" i="4"/>
  <c r="C14" i="4"/>
  <c r="B14" i="4"/>
  <c r="F13" i="4"/>
  <c r="E13" i="4"/>
  <c r="D13" i="4"/>
  <c r="C13" i="4"/>
  <c r="B13" i="4"/>
  <c r="F12" i="4"/>
  <c r="E12" i="4"/>
  <c r="D12" i="4"/>
  <c r="C12" i="4"/>
  <c r="B12" i="4"/>
  <c r="F11" i="4"/>
  <c r="E11" i="4"/>
  <c r="D11" i="4"/>
  <c r="C11" i="4"/>
  <c r="B11" i="4"/>
  <c r="F10" i="4"/>
  <c r="E10" i="4"/>
  <c r="D10" i="4"/>
  <c r="C10" i="4"/>
  <c r="B10" i="4"/>
  <c r="F9" i="4"/>
  <c r="E9" i="4"/>
  <c r="D9" i="4"/>
  <c r="C9" i="4"/>
  <c r="B9" i="4"/>
  <c r="F8" i="4"/>
  <c r="E8" i="4"/>
  <c r="D8" i="4"/>
  <c r="C8" i="4"/>
  <c r="B8" i="4"/>
  <c r="F7" i="4"/>
  <c r="E7" i="4"/>
  <c r="D7" i="4"/>
  <c r="C7" i="4"/>
  <c r="B7" i="4"/>
  <c r="F6" i="4"/>
  <c r="E6" i="4"/>
  <c r="D6" i="4"/>
  <c r="C6" i="4"/>
  <c r="B6" i="4"/>
  <c r="F5" i="4"/>
  <c r="E5" i="4"/>
  <c r="D5" i="4"/>
  <c r="C5" i="4"/>
  <c r="B5" i="4"/>
  <c r="F4" i="4"/>
  <c r="E4" i="4"/>
  <c r="D4" i="4"/>
  <c r="C4" i="4"/>
  <c r="B4" i="4"/>
  <c r="A4" i="4"/>
  <c r="A3" i="4"/>
  <c r="A2" i="4"/>
  <c r="A1" i="4"/>
  <c r="F135" i="3"/>
  <c r="E135" i="3"/>
  <c r="D135" i="3"/>
  <c r="C135" i="3"/>
  <c r="B135" i="3"/>
  <c r="F134" i="3"/>
  <c r="E134" i="3"/>
  <c r="D134" i="3"/>
  <c r="C134" i="3"/>
  <c r="B134" i="3"/>
  <c r="F133" i="3"/>
  <c r="E133" i="3"/>
  <c r="D133" i="3"/>
  <c r="C133" i="3"/>
  <c r="B133" i="3"/>
  <c r="F132" i="3"/>
  <c r="E132" i="3"/>
  <c r="D132" i="3"/>
  <c r="C132" i="3"/>
  <c r="B132" i="3"/>
  <c r="F131" i="3"/>
  <c r="E131" i="3"/>
  <c r="D131" i="3"/>
  <c r="C131" i="3"/>
  <c r="B131" i="3"/>
  <c r="F130" i="3"/>
  <c r="E130" i="3"/>
  <c r="D130" i="3"/>
  <c r="C130" i="3"/>
  <c r="B130" i="3"/>
  <c r="F129" i="3"/>
  <c r="E129" i="3"/>
  <c r="D129" i="3"/>
  <c r="C129" i="3"/>
  <c r="B129" i="3"/>
  <c r="F128" i="3"/>
  <c r="E128" i="3"/>
  <c r="D128" i="3"/>
  <c r="C128" i="3"/>
  <c r="B128" i="3"/>
  <c r="F127" i="3"/>
  <c r="E127" i="3"/>
  <c r="D127" i="3"/>
  <c r="C127" i="3"/>
  <c r="B127" i="3"/>
  <c r="F126" i="3"/>
  <c r="E126" i="3"/>
  <c r="D126" i="3"/>
  <c r="C126" i="3"/>
  <c r="B126" i="3"/>
  <c r="F125" i="3"/>
  <c r="E125" i="3"/>
  <c r="D125" i="3"/>
  <c r="C125" i="3"/>
  <c r="B125" i="3"/>
  <c r="F124" i="3"/>
  <c r="E124" i="3"/>
  <c r="D124" i="3"/>
  <c r="C124" i="3"/>
  <c r="B124" i="3"/>
  <c r="F123" i="3"/>
  <c r="E123" i="3"/>
  <c r="D123" i="3"/>
  <c r="C123" i="3"/>
  <c r="B123" i="3"/>
  <c r="F122" i="3"/>
  <c r="E122" i="3"/>
  <c r="D122" i="3"/>
  <c r="C122" i="3"/>
  <c r="B122" i="3"/>
  <c r="F121" i="3"/>
  <c r="E121" i="3"/>
  <c r="D121" i="3"/>
  <c r="C121" i="3"/>
  <c r="B121" i="3"/>
  <c r="F120" i="3"/>
  <c r="E120" i="3"/>
  <c r="D120" i="3"/>
  <c r="C120" i="3"/>
  <c r="B120" i="3"/>
  <c r="F119" i="3"/>
  <c r="E119" i="3"/>
  <c r="D119" i="3"/>
  <c r="C119" i="3"/>
  <c r="B119" i="3"/>
  <c r="F118" i="3"/>
  <c r="E118" i="3"/>
  <c r="D118" i="3"/>
  <c r="C118" i="3"/>
  <c r="B118" i="3"/>
  <c r="F117" i="3"/>
  <c r="E117" i="3"/>
  <c r="D117" i="3"/>
  <c r="C117" i="3"/>
  <c r="B117" i="3"/>
  <c r="F116" i="3"/>
  <c r="E116" i="3"/>
  <c r="D116" i="3"/>
  <c r="C116" i="3"/>
  <c r="B116" i="3"/>
  <c r="F115" i="3"/>
  <c r="E115" i="3"/>
  <c r="D115" i="3"/>
  <c r="C115" i="3"/>
  <c r="B115" i="3"/>
  <c r="F114" i="3"/>
  <c r="E114" i="3"/>
  <c r="D114" i="3"/>
  <c r="C114" i="3"/>
  <c r="B114" i="3"/>
  <c r="F113" i="3"/>
  <c r="E113" i="3"/>
  <c r="D113" i="3"/>
  <c r="C113" i="3"/>
  <c r="B113" i="3"/>
  <c r="F112" i="3"/>
  <c r="E112" i="3"/>
  <c r="D112" i="3"/>
  <c r="C112" i="3"/>
  <c r="B112" i="3"/>
  <c r="F111" i="3"/>
  <c r="E111" i="3"/>
  <c r="D111" i="3"/>
  <c r="C111" i="3"/>
  <c r="B111" i="3"/>
  <c r="F110" i="3"/>
  <c r="E110" i="3"/>
  <c r="D110" i="3"/>
  <c r="C110" i="3"/>
  <c r="B110" i="3"/>
  <c r="F109" i="3"/>
  <c r="E109" i="3"/>
  <c r="D109" i="3"/>
  <c r="C109" i="3"/>
  <c r="B109" i="3"/>
  <c r="F108" i="3"/>
  <c r="E108" i="3"/>
  <c r="D108" i="3"/>
  <c r="C108" i="3"/>
  <c r="B108" i="3"/>
  <c r="F107" i="3"/>
  <c r="E107" i="3"/>
  <c r="D107" i="3"/>
  <c r="C107" i="3"/>
  <c r="B107" i="3"/>
  <c r="F106" i="3"/>
  <c r="E106" i="3"/>
  <c r="D106" i="3"/>
  <c r="C106" i="3"/>
  <c r="B106" i="3"/>
  <c r="F105" i="3"/>
  <c r="E105" i="3"/>
  <c r="D105" i="3"/>
  <c r="C105" i="3"/>
  <c r="B105" i="3"/>
  <c r="F104" i="3"/>
  <c r="E104" i="3"/>
  <c r="D104" i="3"/>
  <c r="C104" i="3"/>
  <c r="B104" i="3"/>
  <c r="F103" i="3"/>
  <c r="E103" i="3"/>
  <c r="D103" i="3"/>
  <c r="C103" i="3"/>
  <c r="B103" i="3"/>
  <c r="F102" i="3"/>
  <c r="E102" i="3"/>
  <c r="D102" i="3"/>
  <c r="C102" i="3"/>
  <c r="B102" i="3"/>
  <c r="F101" i="3"/>
  <c r="E101" i="3"/>
  <c r="D101" i="3"/>
  <c r="C101" i="3"/>
  <c r="B101" i="3"/>
  <c r="F100" i="3"/>
  <c r="E100" i="3"/>
  <c r="D100" i="3"/>
  <c r="C100" i="3"/>
  <c r="B100" i="3"/>
  <c r="F99" i="3"/>
  <c r="E99" i="3"/>
  <c r="D99" i="3"/>
  <c r="C99" i="3"/>
  <c r="B99" i="3"/>
  <c r="F98" i="3"/>
  <c r="E98" i="3"/>
  <c r="D98" i="3"/>
  <c r="C98" i="3"/>
  <c r="B98" i="3"/>
  <c r="F97" i="3"/>
  <c r="E97" i="3"/>
  <c r="D97" i="3"/>
  <c r="C97" i="3"/>
  <c r="B97" i="3"/>
  <c r="F96" i="3"/>
  <c r="E96" i="3"/>
  <c r="D96" i="3"/>
  <c r="C96" i="3"/>
  <c r="B96" i="3"/>
  <c r="F95" i="3"/>
  <c r="E95" i="3"/>
  <c r="D95" i="3"/>
  <c r="C95" i="3"/>
  <c r="B95" i="3"/>
  <c r="F94" i="3"/>
  <c r="E94" i="3"/>
  <c r="D94" i="3"/>
  <c r="C94" i="3"/>
  <c r="B94" i="3"/>
  <c r="F93" i="3"/>
  <c r="E93" i="3"/>
  <c r="D93" i="3"/>
  <c r="C93" i="3"/>
  <c r="B93" i="3"/>
  <c r="F92" i="3"/>
  <c r="E92" i="3"/>
  <c r="D92" i="3"/>
  <c r="C92" i="3"/>
  <c r="B92" i="3"/>
  <c r="F91" i="3"/>
  <c r="E91" i="3"/>
  <c r="D91" i="3"/>
  <c r="C91" i="3"/>
  <c r="B91" i="3"/>
  <c r="F90" i="3"/>
  <c r="E90" i="3"/>
  <c r="D90" i="3"/>
  <c r="C90" i="3"/>
  <c r="B90" i="3"/>
  <c r="F89" i="3"/>
  <c r="E89" i="3"/>
  <c r="D89" i="3"/>
  <c r="C89" i="3"/>
  <c r="B89" i="3"/>
  <c r="F88" i="3"/>
  <c r="E88" i="3"/>
  <c r="D88" i="3"/>
  <c r="C88" i="3"/>
  <c r="B88" i="3"/>
  <c r="F87" i="3"/>
  <c r="E87" i="3"/>
  <c r="D87" i="3"/>
  <c r="C87" i="3"/>
  <c r="B87" i="3"/>
  <c r="F86" i="3"/>
  <c r="E86" i="3"/>
  <c r="D86" i="3"/>
  <c r="C86" i="3"/>
  <c r="B86" i="3"/>
  <c r="F85" i="3"/>
  <c r="E85" i="3"/>
  <c r="D85" i="3"/>
  <c r="C85" i="3"/>
  <c r="B85" i="3"/>
  <c r="F84" i="3"/>
  <c r="E84" i="3"/>
  <c r="D84" i="3"/>
  <c r="C84" i="3"/>
  <c r="B84" i="3"/>
  <c r="F83" i="3"/>
  <c r="E83" i="3"/>
  <c r="D83" i="3"/>
  <c r="C83" i="3"/>
  <c r="B83" i="3"/>
  <c r="F82" i="3"/>
  <c r="E82" i="3"/>
  <c r="D82" i="3"/>
  <c r="C82" i="3"/>
  <c r="B82" i="3"/>
  <c r="F81" i="3"/>
  <c r="E81" i="3"/>
  <c r="D81" i="3"/>
  <c r="C81" i="3"/>
  <c r="B81" i="3"/>
  <c r="F80" i="3"/>
  <c r="E80" i="3"/>
  <c r="D80" i="3"/>
  <c r="C80" i="3"/>
  <c r="B80" i="3"/>
  <c r="F79" i="3"/>
  <c r="E79" i="3"/>
  <c r="D79" i="3"/>
  <c r="C79" i="3"/>
  <c r="B79" i="3"/>
  <c r="F78" i="3"/>
  <c r="E78" i="3"/>
  <c r="D78" i="3"/>
  <c r="C78" i="3"/>
  <c r="B78" i="3"/>
  <c r="F77" i="3"/>
  <c r="E77" i="3"/>
  <c r="D77" i="3"/>
  <c r="C77" i="3"/>
  <c r="B77" i="3"/>
  <c r="F76" i="3"/>
  <c r="E76" i="3"/>
  <c r="D76" i="3"/>
  <c r="C76" i="3"/>
  <c r="B76" i="3"/>
  <c r="F75" i="3"/>
  <c r="E75" i="3"/>
  <c r="D75" i="3"/>
  <c r="C75" i="3"/>
  <c r="B75" i="3"/>
  <c r="F74" i="3"/>
  <c r="E74" i="3"/>
  <c r="D74" i="3"/>
  <c r="C74" i="3"/>
  <c r="B74" i="3"/>
  <c r="F73" i="3"/>
  <c r="E73" i="3"/>
  <c r="D73" i="3"/>
  <c r="C73" i="3"/>
  <c r="B73" i="3"/>
  <c r="F72" i="3"/>
  <c r="E72" i="3"/>
  <c r="D72" i="3"/>
  <c r="C72" i="3"/>
  <c r="B72" i="3"/>
  <c r="F71" i="3"/>
  <c r="E71" i="3"/>
  <c r="D71" i="3"/>
  <c r="C71" i="3"/>
  <c r="B71" i="3"/>
  <c r="F70" i="3"/>
  <c r="E70" i="3"/>
  <c r="D70" i="3"/>
  <c r="C70" i="3"/>
  <c r="B70" i="3"/>
  <c r="F69" i="3"/>
  <c r="E69" i="3"/>
  <c r="D69" i="3"/>
  <c r="C69" i="3"/>
  <c r="B69" i="3"/>
  <c r="F68" i="3"/>
  <c r="E68" i="3"/>
  <c r="D68" i="3"/>
  <c r="C68" i="3"/>
  <c r="B68" i="3"/>
  <c r="F67" i="3"/>
  <c r="E67" i="3"/>
  <c r="D67" i="3"/>
  <c r="C67" i="3"/>
  <c r="B67" i="3"/>
  <c r="F66" i="3"/>
  <c r="E66" i="3"/>
  <c r="D66" i="3"/>
  <c r="C66" i="3"/>
  <c r="B66" i="3"/>
  <c r="F65" i="3"/>
  <c r="E65" i="3"/>
  <c r="D65" i="3"/>
  <c r="C65" i="3"/>
  <c r="B65" i="3"/>
  <c r="F64" i="3"/>
  <c r="E64" i="3"/>
  <c r="D64" i="3"/>
  <c r="C64" i="3"/>
  <c r="B64" i="3"/>
  <c r="F63" i="3"/>
  <c r="E63" i="3"/>
  <c r="D63" i="3"/>
  <c r="C63" i="3"/>
  <c r="B63" i="3"/>
  <c r="F62" i="3"/>
  <c r="E62" i="3"/>
  <c r="D62" i="3"/>
  <c r="C62" i="3"/>
  <c r="B62" i="3"/>
  <c r="F61" i="3"/>
  <c r="E61" i="3"/>
  <c r="D61" i="3"/>
  <c r="C61" i="3"/>
  <c r="B61" i="3"/>
  <c r="F60" i="3"/>
  <c r="E60" i="3"/>
  <c r="D60" i="3"/>
  <c r="C60" i="3"/>
  <c r="B60" i="3"/>
  <c r="F59" i="3"/>
  <c r="E59" i="3"/>
  <c r="D59" i="3"/>
  <c r="C59" i="3"/>
  <c r="B59" i="3"/>
  <c r="F58" i="3"/>
  <c r="E58" i="3"/>
  <c r="D58" i="3"/>
  <c r="C58" i="3"/>
  <c r="B58" i="3"/>
  <c r="F57" i="3"/>
  <c r="E57" i="3"/>
  <c r="D57" i="3"/>
  <c r="C57" i="3"/>
  <c r="B57" i="3"/>
  <c r="F56" i="3"/>
  <c r="E56" i="3"/>
  <c r="D56" i="3"/>
  <c r="C56" i="3"/>
  <c r="B56" i="3"/>
  <c r="F55" i="3"/>
  <c r="E55" i="3"/>
  <c r="D55" i="3"/>
  <c r="C55" i="3"/>
  <c r="B55" i="3"/>
  <c r="F54" i="3"/>
  <c r="E54" i="3"/>
  <c r="D54" i="3"/>
  <c r="C54" i="3"/>
  <c r="B54" i="3"/>
  <c r="F53" i="3"/>
  <c r="E53" i="3"/>
  <c r="D53" i="3"/>
  <c r="C53" i="3"/>
  <c r="B53" i="3"/>
  <c r="F52" i="3"/>
  <c r="E52" i="3"/>
  <c r="D52" i="3"/>
  <c r="C52" i="3"/>
  <c r="B52" i="3"/>
  <c r="F51" i="3"/>
  <c r="E51" i="3"/>
  <c r="D51" i="3"/>
  <c r="C51" i="3"/>
  <c r="B51" i="3"/>
  <c r="F50" i="3"/>
  <c r="E50" i="3"/>
  <c r="D50" i="3"/>
  <c r="C50" i="3"/>
  <c r="B50" i="3"/>
  <c r="F49" i="3"/>
  <c r="E49" i="3"/>
  <c r="D49" i="3"/>
  <c r="C49" i="3"/>
  <c r="B49" i="3"/>
  <c r="F48" i="3"/>
  <c r="E48" i="3"/>
  <c r="D48" i="3"/>
  <c r="C48" i="3"/>
  <c r="B48" i="3"/>
  <c r="F47" i="3"/>
  <c r="E47" i="3"/>
  <c r="D47" i="3"/>
  <c r="C47" i="3"/>
  <c r="B47" i="3"/>
  <c r="F46" i="3"/>
  <c r="E46" i="3"/>
  <c r="D46" i="3"/>
  <c r="C46" i="3"/>
  <c r="B46" i="3"/>
  <c r="F45" i="3"/>
  <c r="E45" i="3"/>
  <c r="D45" i="3"/>
  <c r="C45" i="3"/>
  <c r="B45" i="3"/>
  <c r="F44" i="3"/>
  <c r="E44" i="3"/>
  <c r="D44" i="3"/>
  <c r="C44" i="3"/>
  <c r="B44" i="3"/>
  <c r="F43" i="3"/>
  <c r="E43" i="3"/>
  <c r="D43" i="3"/>
  <c r="C43" i="3"/>
  <c r="B43" i="3"/>
  <c r="F42" i="3"/>
  <c r="E42" i="3"/>
  <c r="D42" i="3"/>
  <c r="C42" i="3"/>
  <c r="B42" i="3"/>
  <c r="F41" i="3"/>
  <c r="E41" i="3"/>
  <c r="D41" i="3"/>
  <c r="C41" i="3"/>
  <c r="B41" i="3"/>
  <c r="F40" i="3"/>
  <c r="E40" i="3"/>
  <c r="D40" i="3"/>
  <c r="C40" i="3"/>
  <c r="B40" i="3"/>
  <c r="F39" i="3"/>
  <c r="E39" i="3"/>
  <c r="D39" i="3"/>
  <c r="C39" i="3"/>
  <c r="B39" i="3"/>
  <c r="F38" i="3"/>
  <c r="E38" i="3"/>
  <c r="D38" i="3"/>
  <c r="C38" i="3"/>
  <c r="B38" i="3"/>
  <c r="F37" i="3"/>
  <c r="E37" i="3"/>
  <c r="D37" i="3"/>
  <c r="C37" i="3"/>
  <c r="B37" i="3"/>
  <c r="F36" i="3"/>
  <c r="E36" i="3"/>
  <c r="D36" i="3"/>
  <c r="C36" i="3"/>
  <c r="B36" i="3"/>
  <c r="F35" i="3"/>
  <c r="E35" i="3"/>
  <c r="D35" i="3"/>
  <c r="C35" i="3"/>
  <c r="B35" i="3"/>
  <c r="F34" i="3"/>
  <c r="E34" i="3"/>
  <c r="D34" i="3"/>
  <c r="C34" i="3"/>
  <c r="B34" i="3"/>
  <c r="F33" i="3"/>
  <c r="E33" i="3"/>
  <c r="D33" i="3"/>
  <c r="C33" i="3"/>
  <c r="B33" i="3"/>
  <c r="F32" i="3"/>
  <c r="E32" i="3"/>
  <c r="D32" i="3"/>
  <c r="C32" i="3"/>
  <c r="B32" i="3"/>
  <c r="F31" i="3"/>
  <c r="E31" i="3"/>
  <c r="D31" i="3"/>
  <c r="C31" i="3"/>
  <c r="B31" i="3"/>
  <c r="F30" i="3"/>
  <c r="E30" i="3"/>
  <c r="D30" i="3"/>
  <c r="C30" i="3"/>
  <c r="B30" i="3"/>
  <c r="F29" i="3"/>
  <c r="E29" i="3"/>
  <c r="D29" i="3"/>
  <c r="C29" i="3"/>
  <c r="B29" i="3"/>
  <c r="F28" i="3"/>
  <c r="E28" i="3"/>
  <c r="D28" i="3"/>
  <c r="C28" i="3"/>
  <c r="B28" i="3"/>
  <c r="F27" i="3"/>
  <c r="E27" i="3"/>
  <c r="D27" i="3"/>
  <c r="C27" i="3"/>
  <c r="B27" i="3"/>
  <c r="F26" i="3"/>
  <c r="E26" i="3"/>
  <c r="D26" i="3"/>
  <c r="C26" i="3"/>
  <c r="B26" i="3"/>
  <c r="F25" i="3"/>
  <c r="E25" i="3"/>
  <c r="D25" i="3"/>
  <c r="C25" i="3"/>
  <c r="B25" i="3"/>
  <c r="F24" i="3"/>
  <c r="E24" i="3"/>
  <c r="D24" i="3"/>
  <c r="C24" i="3"/>
  <c r="B24" i="3"/>
  <c r="F23" i="3"/>
  <c r="E23" i="3"/>
  <c r="D23" i="3"/>
  <c r="C23" i="3"/>
  <c r="B23" i="3"/>
  <c r="F22" i="3"/>
  <c r="E22" i="3"/>
  <c r="D22" i="3"/>
  <c r="C22" i="3"/>
  <c r="B22" i="3"/>
  <c r="F21" i="3"/>
  <c r="E21" i="3"/>
  <c r="D21" i="3"/>
  <c r="C21" i="3"/>
  <c r="B21" i="3"/>
  <c r="F20" i="3"/>
  <c r="E20" i="3"/>
  <c r="D20" i="3"/>
  <c r="C20" i="3"/>
  <c r="B20" i="3"/>
  <c r="F19" i="3"/>
  <c r="E19" i="3"/>
  <c r="D19" i="3"/>
  <c r="C19" i="3"/>
  <c r="B19" i="3"/>
  <c r="F18" i="3"/>
  <c r="E18" i="3"/>
  <c r="D18" i="3"/>
  <c r="C18" i="3"/>
  <c r="B18" i="3"/>
  <c r="F17" i="3"/>
  <c r="E17" i="3"/>
  <c r="D17" i="3"/>
  <c r="C17" i="3"/>
  <c r="B17" i="3"/>
  <c r="F16" i="3"/>
  <c r="E16" i="3"/>
  <c r="D16" i="3"/>
  <c r="C16" i="3"/>
  <c r="B16" i="3"/>
  <c r="F15" i="3"/>
  <c r="E15" i="3"/>
  <c r="D15" i="3"/>
  <c r="C15" i="3"/>
  <c r="B15" i="3"/>
  <c r="F14" i="3"/>
  <c r="E14" i="3"/>
  <c r="D14" i="3"/>
  <c r="C14" i="3"/>
  <c r="B14" i="3"/>
  <c r="F13" i="3"/>
  <c r="E13" i="3"/>
  <c r="D13" i="3"/>
  <c r="C13" i="3"/>
  <c r="B13" i="3"/>
  <c r="F12" i="3"/>
  <c r="E12" i="3"/>
  <c r="D12" i="3"/>
  <c r="C12" i="3"/>
  <c r="B12" i="3"/>
  <c r="F11" i="3"/>
  <c r="E11" i="3"/>
  <c r="D11" i="3"/>
  <c r="C11" i="3"/>
  <c r="B11" i="3"/>
  <c r="F10" i="3"/>
  <c r="E10" i="3"/>
  <c r="D10" i="3"/>
  <c r="C10" i="3"/>
  <c r="B10" i="3"/>
  <c r="F9" i="3"/>
  <c r="E9" i="3"/>
  <c r="D9" i="3"/>
  <c r="C9" i="3"/>
  <c r="B9" i="3"/>
  <c r="F8" i="3"/>
  <c r="E8" i="3"/>
  <c r="D8" i="3"/>
  <c r="C8" i="3"/>
  <c r="B8" i="3"/>
  <c r="F7" i="3"/>
  <c r="E7" i="3"/>
  <c r="D7" i="3"/>
  <c r="C7" i="3"/>
  <c r="B7" i="3"/>
  <c r="F6" i="3"/>
  <c r="E6" i="3"/>
  <c r="D6" i="3"/>
  <c r="C6" i="3"/>
  <c r="B6" i="3"/>
  <c r="F5" i="3"/>
  <c r="E5" i="3"/>
  <c r="D5" i="3"/>
  <c r="C5" i="3"/>
  <c r="B5" i="3"/>
  <c r="F4" i="3"/>
  <c r="E4" i="3"/>
  <c r="D4" i="3"/>
  <c r="C4" i="3"/>
  <c r="B4" i="3"/>
  <c r="A4" i="3"/>
  <c r="A3" i="3"/>
  <c r="A2" i="3"/>
  <c r="A1" i="3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A17" i="2"/>
  <c r="A16" i="2"/>
  <c r="A15" i="2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18" i="1"/>
  <c r="A17" i="1"/>
  <c r="A16" i="1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  <c r="A3" i="2"/>
  <c r="A2" i="2"/>
  <c r="A1" i="2"/>
  <c r="A1" i="1"/>
  <c r="A2" i="1"/>
  <c r="A3" i="1"/>
  <c r="A4" i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5DC4-E3A1-4AA7-A596-9C2B79EC4D19}">
  <dimension ref="A1:F135"/>
  <sheetViews>
    <sheetView tabSelected="1" workbookViewId="0">
      <selection activeCell="A32" sqref="A32"/>
    </sheetView>
  </sheetViews>
  <sheetFormatPr defaultRowHeight="15" x14ac:dyDescent="0.25"/>
  <cols>
    <col min="1" max="1" width="42.7109375" bestFit="1" customWidth="1"/>
    <col min="2" max="2" width="29.140625" bestFit="1" customWidth="1"/>
    <col min="3" max="3" width="21.5703125" bestFit="1" customWidth="1"/>
    <col min="4" max="4" width="5.7109375" bestFit="1" customWidth="1"/>
    <col min="5" max="5" width="10" bestFit="1" customWidth="1"/>
    <col min="6" max="6" width="9.5703125" bestFit="1" customWidth="1"/>
  </cols>
  <sheetData>
    <row r="1" spans="1:6" x14ac:dyDescent="0.25">
      <c r="A1" t="str">
        <f>"2025 USA Shooting Winter Air Gun - Camp Perry"</f>
        <v>2025 USA Shooting Winter Air Gun - Camp Perry</v>
      </c>
    </row>
    <row r="2" spans="1:6" x14ac:dyDescent="0.25">
      <c r="A2" t="str">
        <f>"Open Qualification - Women"</f>
        <v>Open Qualification - Women</v>
      </c>
    </row>
    <row r="3" spans="1:6" x14ac:dyDescent="0.25">
      <c r="A3" t="str">
        <f>""</f>
        <v/>
      </c>
    </row>
    <row r="4" spans="1:6" x14ac:dyDescent="0.25">
      <c r="A4" t="str">
        <f>"Place"</f>
        <v>Place</v>
      </c>
      <c r="B4" t="str">
        <f>"Competitor (Comp Num)"</f>
        <v>Competitor (Comp Num)</v>
      </c>
      <c r="C4" t="str">
        <f>"Hometown"</f>
        <v>Hometown</v>
      </c>
      <c r="D4" t="str">
        <f>"D1 60"</f>
        <v>D1 60</v>
      </c>
      <c r="E4" t="str">
        <f>"D2 60 Rifle"</f>
        <v>D2 60 Rifle</v>
      </c>
      <c r="F4" t="str">
        <f>"Aggregate"</f>
        <v>Aggregate</v>
      </c>
    </row>
    <row r="5" spans="1:6" x14ac:dyDescent="0.25">
      <c r="A5">
        <v>1</v>
      </c>
      <c r="B5" t="str">
        <f>"Camp, Camryn (364938)"</f>
        <v>Camp, Camryn (364938)</v>
      </c>
      <c r="C5" t="str">
        <f>"Hillsboro , TX"</f>
        <v>Hillsboro , TX</v>
      </c>
      <c r="D5" t="str">
        <f>"626.8"</f>
        <v>626.8</v>
      </c>
      <c r="E5" t="str">
        <f>"629.4"</f>
        <v>629.4</v>
      </c>
      <c r="F5" t="str">
        <f>"1,256.2"</f>
        <v>1,256.2</v>
      </c>
    </row>
    <row r="6" spans="1:6" x14ac:dyDescent="0.25">
      <c r="A6">
        <v>2</v>
      </c>
      <c r="B6" t="str">
        <f>"Kocher, Jennifer (512660)"</f>
        <v>Kocher, Jennifer (512660)</v>
      </c>
      <c r="C6" t="str">
        <f>"Morgantown, WV"</f>
        <v>Morgantown, WV</v>
      </c>
      <c r="D6" t="str">
        <f>"631.2"</f>
        <v>631.2</v>
      </c>
      <c r="E6" t="str">
        <f>"622.7"</f>
        <v>622.7</v>
      </c>
      <c r="F6" t="str">
        <f>"1,253.9"</f>
        <v>1,253.9</v>
      </c>
    </row>
    <row r="7" spans="1:6" x14ac:dyDescent="0.25">
      <c r="A7">
        <v>3</v>
      </c>
      <c r="B7" t="str">
        <f>"Ceccarello, Sofia (431667)"</f>
        <v>Ceccarello, Sofia (431667)</v>
      </c>
      <c r="C7" t="str">
        <f>"Lexington, KY"</f>
        <v>Lexington, KY</v>
      </c>
      <c r="D7" t="str">
        <f>"625.6"</f>
        <v>625.6</v>
      </c>
      <c r="E7" t="str">
        <f>"627.8"</f>
        <v>627.8</v>
      </c>
      <c r="F7" t="str">
        <f>"1,253.4"</f>
        <v>1,253.4</v>
      </c>
    </row>
    <row r="8" spans="1:6" x14ac:dyDescent="0.25">
      <c r="A8">
        <v>4</v>
      </c>
      <c r="B8" t="str">
        <f>"Baldwin, Isabella (347836)"</f>
        <v>Baldwin, Isabella (347836)</v>
      </c>
      <c r="C8" t="str">
        <f>"Nashville, TN"</f>
        <v>Nashville, TN</v>
      </c>
      <c r="D8" t="str">
        <f>"624.4"</f>
        <v>624.4</v>
      </c>
      <c r="E8" t="str">
        <f>"628.6"</f>
        <v>628.6</v>
      </c>
      <c r="F8" t="str">
        <f>"1,253.0"</f>
        <v>1,253.0</v>
      </c>
    </row>
    <row r="9" spans="1:6" x14ac:dyDescent="0.25">
      <c r="A9">
        <v>5</v>
      </c>
      <c r="B9" t="str">
        <f>"Valenta, Carlee (339877)"</f>
        <v>Valenta, Carlee (339877)</v>
      </c>
      <c r="C9" t="str">
        <f>"Harrison City, PA"</f>
        <v>Harrison City, PA</v>
      </c>
      <c r="D9" t="str">
        <f>"627.5"</f>
        <v>627.5</v>
      </c>
      <c r="E9" t="str">
        <f>"625.3"</f>
        <v>625.3</v>
      </c>
      <c r="F9" t="str">
        <f>"1,252.8"</f>
        <v>1,252.8</v>
      </c>
    </row>
    <row r="10" spans="1:6" x14ac:dyDescent="0.25">
      <c r="A10">
        <v>6</v>
      </c>
      <c r="B10" t="str">
        <f>"Schmeltzer, Elizabeth (167916)"</f>
        <v>Schmeltzer, Elizabeth (167916)</v>
      </c>
      <c r="C10" t="str">
        <f>"Sandusky, OH"</f>
        <v>Sandusky, OH</v>
      </c>
      <c r="D10" t="str">
        <f>"625.6"</f>
        <v>625.6</v>
      </c>
      <c r="E10" t="str">
        <f>"626.9"</f>
        <v>626.9</v>
      </c>
      <c r="F10" t="str">
        <f>"1,252.5"</f>
        <v>1,252.5</v>
      </c>
    </row>
    <row r="11" spans="1:6" x14ac:dyDescent="0.25">
      <c r="A11">
        <v>7</v>
      </c>
      <c r="B11" t="str">
        <f>"Probst, Elizabeth (290200)"</f>
        <v>Probst, Elizabeth (290200)</v>
      </c>
      <c r="C11" t="str">
        <f>"Brady, TX"</f>
        <v>Brady, TX</v>
      </c>
      <c r="D11" t="str">
        <f>"624.5"</f>
        <v>624.5</v>
      </c>
      <c r="E11" t="str">
        <f>"627.1"</f>
        <v>627.1</v>
      </c>
      <c r="F11" t="str">
        <f>"1,251.6"</f>
        <v>1,251.6</v>
      </c>
    </row>
    <row r="12" spans="1:6" x14ac:dyDescent="0.25">
      <c r="A12">
        <v>8</v>
      </c>
      <c r="B12" t="str">
        <f>"Yang, Angela (473382)"</f>
        <v>Yang, Angela (473382)</v>
      </c>
      <c r="C12" t="str">
        <f>"Maple, ON"</f>
        <v>Maple, ON</v>
      </c>
      <c r="D12" t="str">
        <f>"625.1"</f>
        <v>625.1</v>
      </c>
      <c r="E12" t="str">
        <f>"625.9"</f>
        <v>625.9</v>
      </c>
      <c r="F12" t="str">
        <f>"1,251.0"</f>
        <v>1,251.0</v>
      </c>
    </row>
    <row r="13" spans="1:6" x14ac:dyDescent="0.25">
      <c r="A13">
        <v>9</v>
      </c>
      <c r="B13" t="str">
        <f>"Bodrogi, Alexa  (406163)"</f>
        <v>Bodrogi, Alexa  (406163)</v>
      </c>
      <c r="C13" t="str">
        <f>"Bridgewater, NJ"</f>
        <v>Bridgewater, NJ</v>
      </c>
      <c r="D13" t="str">
        <f>"623.3"</f>
        <v>623.3</v>
      </c>
      <c r="E13" t="str">
        <f>"627.5"</f>
        <v>627.5</v>
      </c>
      <c r="F13" t="str">
        <f>"1,250.8"</f>
        <v>1,250.8</v>
      </c>
    </row>
    <row r="14" spans="1:6" x14ac:dyDescent="0.25">
      <c r="A14">
        <v>10</v>
      </c>
      <c r="B14" t="str">
        <f>"Walrath, Emme (369838)"</f>
        <v>Walrath, Emme (369838)</v>
      </c>
      <c r="C14" t="str">
        <f>"Kenosha, WI"</f>
        <v>Kenosha, WI</v>
      </c>
      <c r="D14" t="str">
        <f>"622.8"</f>
        <v>622.8</v>
      </c>
      <c r="E14" t="str">
        <f>"627.9"</f>
        <v>627.9</v>
      </c>
      <c r="F14" t="str">
        <f>"1,250.7"</f>
        <v>1,250.7</v>
      </c>
    </row>
    <row r="15" spans="1:6" x14ac:dyDescent="0.25">
      <c r="A15">
        <v>11</v>
      </c>
      <c r="B15" t="str">
        <f>"Weisz, Alison, SGT, USA (54339)"</f>
        <v>Weisz, Alison, SGT, USA (54339)</v>
      </c>
      <c r="C15" t="str">
        <f>"Belgrade, MT"</f>
        <v>Belgrade, MT</v>
      </c>
      <c r="D15" t="str">
        <f>"619.7"</f>
        <v>619.7</v>
      </c>
      <c r="E15" t="str">
        <f>"628.6"</f>
        <v>628.6</v>
      </c>
      <c r="F15" t="str">
        <f>"1,248.3"</f>
        <v>1,248.3</v>
      </c>
    </row>
    <row r="16" spans="1:6" x14ac:dyDescent="0.25">
      <c r="A16">
        <v>12</v>
      </c>
      <c r="B16" t="str">
        <f>"Wytko, Lily (322167)"</f>
        <v>Wytko, Lily (322167)</v>
      </c>
      <c r="C16" t="str">
        <f>"Elkridge, MD"</f>
        <v>Elkridge, MD</v>
      </c>
      <c r="D16" t="str">
        <f>"620.3"</f>
        <v>620.3</v>
      </c>
      <c r="E16" t="str">
        <f>"627.9"</f>
        <v>627.9</v>
      </c>
      <c r="F16" t="str">
        <f>"1,248.2"</f>
        <v>1,248.2</v>
      </c>
    </row>
    <row r="17" spans="1:6" x14ac:dyDescent="0.25">
      <c r="A17">
        <v>13</v>
      </c>
      <c r="B17" t="str">
        <f>"Jambozorg, Mahlagha (504483)"</f>
        <v>Jambozorg, Mahlagha (504483)</v>
      </c>
      <c r="C17" t="str">
        <f>"Miami, FL"</f>
        <v>Miami, FL</v>
      </c>
      <c r="D17" t="str">
        <f>"623.8"</f>
        <v>623.8</v>
      </c>
      <c r="E17" t="str">
        <f>"624.4"</f>
        <v>624.4</v>
      </c>
      <c r="F17" t="str">
        <f>"1,248.2"</f>
        <v>1,248.2</v>
      </c>
    </row>
    <row r="18" spans="1:6" x14ac:dyDescent="0.25">
      <c r="A18">
        <v>14</v>
      </c>
      <c r="B18" t="str">
        <f>"Talbott, Hannah (482748)"</f>
        <v>Talbott, Hannah (482748)</v>
      </c>
      <c r="C18" t="str">
        <f>"Danbury, CT"</f>
        <v>Danbury, CT</v>
      </c>
      <c r="D18" t="str">
        <f>"622.4"</f>
        <v>622.4</v>
      </c>
      <c r="E18" t="str">
        <f>"625.2"</f>
        <v>625.2</v>
      </c>
      <c r="F18" t="str">
        <f>"1,247.6"</f>
        <v>1,247.6</v>
      </c>
    </row>
    <row r="19" spans="1:6" x14ac:dyDescent="0.25">
      <c r="A19">
        <v>15</v>
      </c>
      <c r="B19" t="str">
        <f>"Boozer, Elisa (341295)"</f>
        <v>Boozer, Elisa (341295)</v>
      </c>
      <c r="C19" t="str">
        <f>"OKC, OK"</f>
        <v>OKC, OK</v>
      </c>
      <c r="D19" t="str">
        <f>"625.7"</f>
        <v>625.7</v>
      </c>
      <c r="E19" t="str">
        <f>"621.9"</f>
        <v>621.9</v>
      </c>
      <c r="F19" t="str">
        <f>"1,247.6"</f>
        <v>1,247.6</v>
      </c>
    </row>
    <row r="20" spans="1:6" x14ac:dyDescent="0.25">
      <c r="A20">
        <v>16</v>
      </c>
      <c r="B20" t="str">
        <f>"Blake, Ashlyn (408788)"</f>
        <v>Blake, Ashlyn (408788)</v>
      </c>
      <c r="C20" t="str">
        <f>"Sparta, NJ"</f>
        <v>Sparta, NJ</v>
      </c>
      <c r="D20" t="str">
        <f>"623.2"</f>
        <v>623.2</v>
      </c>
      <c r="E20" t="str">
        <f>"624.3"</f>
        <v>624.3</v>
      </c>
      <c r="F20" t="str">
        <f>"1,247.5"</f>
        <v>1,247.5</v>
      </c>
    </row>
    <row r="21" spans="1:6" x14ac:dyDescent="0.25">
      <c r="A21">
        <v>17</v>
      </c>
      <c r="B21" t="str">
        <f>"Haverhill, Jeanne (257863)"</f>
        <v>Haverhill, Jeanne (257863)</v>
      </c>
      <c r="C21" t="str">
        <f>"Boons Camp, KY"</f>
        <v>Boons Camp, KY</v>
      </c>
      <c r="D21" t="str">
        <f>"624.3"</f>
        <v>624.3</v>
      </c>
      <c r="E21" t="str">
        <f>"623.0"</f>
        <v>623.0</v>
      </c>
      <c r="F21" t="str">
        <f>"1,247.3"</f>
        <v>1,247.3</v>
      </c>
    </row>
    <row r="22" spans="1:6" x14ac:dyDescent="0.25">
      <c r="A22">
        <v>18</v>
      </c>
      <c r="B22" t="str">
        <f>"Parish, Chloe (406352)"</f>
        <v>Parish, Chloe (406352)</v>
      </c>
      <c r="C22" t="str">
        <f>"Conway, AR"</f>
        <v>Conway, AR</v>
      </c>
      <c r="D22" t="str">
        <f>"622.7"</f>
        <v>622.7</v>
      </c>
      <c r="E22" t="str">
        <f>"623.8"</f>
        <v>623.8</v>
      </c>
      <c r="F22" t="str">
        <f>"1,246.5"</f>
        <v>1,246.5</v>
      </c>
    </row>
    <row r="23" spans="1:6" x14ac:dyDescent="0.25">
      <c r="A23">
        <v>19</v>
      </c>
      <c r="B23" t="str">
        <f>"McGhin, Molly (207993)"</f>
        <v>McGhin, Molly (207993)</v>
      </c>
      <c r="C23" t="str">
        <f>"Griffin, GA"</f>
        <v>Griffin, GA</v>
      </c>
      <c r="D23" t="str">
        <f>"618.5"</f>
        <v>618.5</v>
      </c>
      <c r="E23" t="str">
        <f>"627.8"</f>
        <v>627.8</v>
      </c>
      <c r="F23" t="str">
        <f>"1,246.3"</f>
        <v>1,246.3</v>
      </c>
    </row>
    <row r="24" spans="1:6" x14ac:dyDescent="0.25">
      <c r="A24">
        <v>20</v>
      </c>
      <c r="B24" t="str">
        <f>"Martin, Caroline  (348255)"</f>
        <v>Martin, Caroline  (348255)</v>
      </c>
      <c r="C24" t="str">
        <f>"Nemo, TX"</f>
        <v>Nemo, TX</v>
      </c>
      <c r="D24" t="str">
        <f>"620.6"</f>
        <v>620.6</v>
      </c>
      <c r="E24" t="str">
        <f>"625.6"</f>
        <v>625.6</v>
      </c>
      <c r="F24" t="str">
        <f>"1,246.2"</f>
        <v>1,246.2</v>
      </c>
    </row>
    <row r="25" spans="1:6" x14ac:dyDescent="0.25">
      <c r="A25">
        <v>21</v>
      </c>
      <c r="B25" t="str">
        <f>"Smith, Sabrina (384654)"</f>
        <v>Smith, Sabrina (384654)</v>
      </c>
      <c r="C25" t="str">
        <f>"Concord Township, OH"</f>
        <v>Concord Township, OH</v>
      </c>
      <c r="D25" t="str">
        <f>"623.9"</f>
        <v>623.9</v>
      </c>
      <c r="E25" t="str">
        <f>"621.4"</f>
        <v>621.4</v>
      </c>
      <c r="F25" t="str">
        <f>"1,245.3"</f>
        <v>1,245.3</v>
      </c>
    </row>
    <row r="26" spans="1:6" x14ac:dyDescent="0.25">
      <c r="A26">
        <v>22</v>
      </c>
      <c r="B26" t="str">
        <f>"Haymond, Ashley (380824)"</f>
        <v>Haymond, Ashley (380824)</v>
      </c>
      <c r="C26" t="str">
        <f>"Shelbyville, KY"</f>
        <v>Shelbyville, KY</v>
      </c>
      <c r="D26" t="str">
        <f>"620.2"</f>
        <v>620.2</v>
      </c>
      <c r="E26" t="str">
        <f>"624.1"</f>
        <v>624.1</v>
      </c>
      <c r="F26" t="str">
        <f>"1,244.3"</f>
        <v>1,244.3</v>
      </c>
    </row>
    <row r="27" spans="1:6" x14ac:dyDescent="0.25">
      <c r="A27">
        <v>23</v>
      </c>
      <c r="B27" t="str">
        <f>"Soule, Lea, USA (413482)"</f>
        <v>Soule, Lea, USA (413482)</v>
      </c>
      <c r="C27" t="str">
        <f>"Itasca, TX"</f>
        <v>Itasca, TX</v>
      </c>
      <c r="D27" t="str">
        <f>"622.8"</f>
        <v>622.8</v>
      </c>
      <c r="E27" t="str">
        <f>"620.6"</f>
        <v>620.6</v>
      </c>
      <c r="F27" t="str">
        <f>"1,243.4"</f>
        <v>1,243.4</v>
      </c>
    </row>
    <row r="28" spans="1:6" x14ac:dyDescent="0.25">
      <c r="A28">
        <v>24</v>
      </c>
      <c r="B28" t="str">
        <f>"McClung, Victoria (336949)"</f>
        <v>McClung, Victoria (336949)</v>
      </c>
      <c r="C28" t="str">
        <f>"Bossier City, LA"</f>
        <v>Bossier City, LA</v>
      </c>
      <c r="D28" t="str">
        <f>"619.6"</f>
        <v>619.6</v>
      </c>
      <c r="E28" t="str">
        <f>"623.5"</f>
        <v>623.5</v>
      </c>
      <c r="F28" t="str">
        <f>"1,243.1"</f>
        <v>1,243.1</v>
      </c>
    </row>
    <row r="29" spans="1:6" x14ac:dyDescent="0.25">
      <c r="A29">
        <v>25</v>
      </c>
      <c r="B29" t="str">
        <f>"Todd, Hannah (281258)"</f>
        <v>Todd, Hannah (281258)</v>
      </c>
      <c r="C29" t="str">
        <f>"Cameron, MT"</f>
        <v>Cameron, MT</v>
      </c>
      <c r="D29" t="str">
        <f>"617.2"</f>
        <v>617.2</v>
      </c>
      <c r="E29" t="str">
        <f>"625.1"</f>
        <v>625.1</v>
      </c>
      <c r="F29" t="str">
        <f>"1,242.3"</f>
        <v>1,242.3</v>
      </c>
    </row>
    <row r="30" spans="1:6" x14ac:dyDescent="0.25">
      <c r="A30">
        <v>26</v>
      </c>
      <c r="B30" t="str">
        <f>"Lynn, Karlie (412938)"</f>
        <v>Lynn, Karlie (412938)</v>
      </c>
      <c r="C30" t="str">
        <f>"Hopewell, PA"</f>
        <v>Hopewell, PA</v>
      </c>
      <c r="D30" t="str">
        <f>"624.0"</f>
        <v>624.0</v>
      </c>
      <c r="E30" t="str">
        <f>"617.5"</f>
        <v>617.5</v>
      </c>
      <c r="F30" t="str">
        <f>"1,241.5"</f>
        <v>1,241.5</v>
      </c>
    </row>
    <row r="31" spans="1:6" x14ac:dyDescent="0.25">
      <c r="A31">
        <v>27</v>
      </c>
      <c r="B31" t="str">
        <f>"Siek, Natalia  (377610)"</f>
        <v>Siek, Natalia  (377610)</v>
      </c>
      <c r="C31" t="str">
        <f>"Flemington, NJ"</f>
        <v>Flemington, NJ</v>
      </c>
      <c r="D31" t="str">
        <f>"619.3"</f>
        <v>619.3</v>
      </c>
      <c r="E31" t="str">
        <f>"621.6"</f>
        <v>621.6</v>
      </c>
      <c r="F31" t="str">
        <f>"1,240.9"</f>
        <v>1,240.9</v>
      </c>
    </row>
    <row r="32" spans="1:6" x14ac:dyDescent="0.25">
      <c r="A32">
        <v>28</v>
      </c>
      <c r="B32" t="str">
        <f>"Kohli, Anahad  (470338)"</f>
        <v>Kohli, Anahad  (470338)</v>
      </c>
      <c r="C32" t="str">
        <f>"Yorktown, VA"</f>
        <v>Yorktown, VA</v>
      </c>
      <c r="D32" t="str">
        <f>"618.8"</f>
        <v>618.8</v>
      </c>
      <c r="E32" t="str">
        <f>"621.2"</f>
        <v>621.2</v>
      </c>
      <c r="F32" t="str">
        <f>"1,240.0"</f>
        <v>1,240.0</v>
      </c>
    </row>
    <row r="33" spans="1:6" x14ac:dyDescent="0.25">
      <c r="A33">
        <v>29</v>
      </c>
      <c r="B33" t="str">
        <f>"Sprague, Gabriella (231282)"</f>
        <v>Sprague, Gabriella (231282)</v>
      </c>
      <c r="C33" t="str">
        <f>"Falls Creek, PA"</f>
        <v>Falls Creek, PA</v>
      </c>
      <c r="D33" t="str">
        <f>"621.0"</f>
        <v>621.0</v>
      </c>
      <c r="E33" t="str">
        <f>"618.8"</f>
        <v>618.8</v>
      </c>
      <c r="F33" t="str">
        <f>"1,239.8"</f>
        <v>1,239.8</v>
      </c>
    </row>
    <row r="34" spans="1:6" x14ac:dyDescent="0.25">
      <c r="A34">
        <v>30</v>
      </c>
      <c r="B34" t="str">
        <f>"Eylander, Matilda (512657)"</f>
        <v>Eylander, Matilda (512657)</v>
      </c>
      <c r="C34" t="str">
        <f>"Statesboro, GA"</f>
        <v>Statesboro, GA</v>
      </c>
      <c r="D34" t="str">
        <f>"621.4"</f>
        <v>621.4</v>
      </c>
      <c r="E34" t="str">
        <f>"617.9"</f>
        <v>617.9</v>
      </c>
      <c r="F34" t="str">
        <f>"1,239.3"</f>
        <v>1,239.3</v>
      </c>
    </row>
    <row r="35" spans="1:6" x14ac:dyDescent="0.25">
      <c r="A35">
        <v>31</v>
      </c>
      <c r="B35" t="str">
        <f>"Kelly, Alana (168868)"</f>
        <v>Kelly, Alana (168868)</v>
      </c>
      <c r="C35" t="str">
        <f>"Port Clinton, OH"</f>
        <v>Port Clinton, OH</v>
      </c>
      <c r="D35" t="str">
        <f>"617.6"</f>
        <v>617.6</v>
      </c>
      <c r="E35" t="str">
        <f>"621.2"</f>
        <v>621.2</v>
      </c>
      <c r="F35" t="str">
        <f>"1,238.8"</f>
        <v>1,238.8</v>
      </c>
    </row>
    <row r="36" spans="1:6" x14ac:dyDescent="0.25">
      <c r="A36">
        <v>32</v>
      </c>
      <c r="B36" t="str">
        <f>"Ballard, Abigail (402413)"</f>
        <v>Ballard, Abigail (402413)</v>
      </c>
      <c r="C36" t="str">
        <f>"Rienzi, MS"</f>
        <v>Rienzi, MS</v>
      </c>
      <c r="D36" t="str">
        <f>"613.8"</f>
        <v>613.8</v>
      </c>
      <c r="E36" t="str">
        <f>"624.8"</f>
        <v>624.8</v>
      </c>
      <c r="F36" t="str">
        <f>"1,238.6"</f>
        <v>1,238.6</v>
      </c>
    </row>
    <row r="37" spans="1:6" x14ac:dyDescent="0.25">
      <c r="A37">
        <v>33</v>
      </c>
      <c r="B37" t="str">
        <f>"Pruden, Mackenzie (293546)"</f>
        <v>Pruden, Mackenzie (293546)</v>
      </c>
      <c r="C37" t="str">
        <f>"Fulshear, TX"</f>
        <v>Fulshear, TX</v>
      </c>
      <c r="D37" t="str">
        <f>"614.8"</f>
        <v>614.8</v>
      </c>
      <c r="E37" t="str">
        <f>"623.2"</f>
        <v>623.2</v>
      </c>
      <c r="F37" t="str">
        <f>"1,238.0"</f>
        <v>1,238.0</v>
      </c>
    </row>
    <row r="38" spans="1:6" x14ac:dyDescent="0.25">
      <c r="A38">
        <v>34</v>
      </c>
      <c r="B38" t="str">
        <f>"Richards, Jordan (450735)"</f>
        <v>Richards, Jordan (450735)</v>
      </c>
      <c r="C38" t="str">
        <f>"Odenton, MD"</f>
        <v>Odenton, MD</v>
      </c>
      <c r="D38" t="str">
        <f>"616.1"</f>
        <v>616.1</v>
      </c>
      <c r="E38" t="str">
        <f>"621.7"</f>
        <v>621.7</v>
      </c>
      <c r="F38" t="str">
        <f>"1,237.8"</f>
        <v>1,237.8</v>
      </c>
    </row>
    <row r="39" spans="1:6" x14ac:dyDescent="0.25">
      <c r="A39">
        <v>35</v>
      </c>
      <c r="B39" t="str">
        <f>"Singleton, Hailey (346661)"</f>
        <v>Singleton, Hailey (346661)</v>
      </c>
      <c r="C39" t="str">
        <f>"Bellevue, OH"</f>
        <v>Bellevue, OH</v>
      </c>
      <c r="D39" t="str">
        <f>"619.3"</f>
        <v>619.3</v>
      </c>
      <c r="E39" t="str">
        <f>"617.2"</f>
        <v>617.2</v>
      </c>
      <c r="F39" t="str">
        <f>"1,236.5"</f>
        <v>1,236.5</v>
      </c>
    </row>
    <row r="40" spans="1:6" x14ac:dyDescent="0.25">
      <c r="A40">
        <v>36</v>
      </c>
      <c r="B40" t="str">
        <f>"Miller, Kelly (431659)"</f>
        <v>Miller, Kelly (431659)</v>
      </c>
      <c r="C40" t="str">
        <f>"Darien, CT"</f>
        <v>Darien, CT</v>
      </c>
      <c r="D40" t="str">
        <f>"619.1"</f>
        <v>619.1</v>
      </c>
      <c r="E40" t="str">
        <f>"617.1"</f>
        <v>617.1</v>
      </c>
      <c r="F40" t="str">
        <f>"1,236.2"</f>
        <v>1,236.2</v>
      </c>
    </row>
    <row r="41" spans="1:6" x14ac:dyDescent="0.25">
      <c r="A41">
        <v>37</v>
      </c>
      <c r="B41" t="str">
        <f>"Mix, Sarah (395288)"</f>
        <v>Mix, Sarah (395288)</v>
      </c>
      <c r="C41" t="str">
        <f>"Xenia, OH"</f>
        <v>Xenia, OH</v>
      </c>
      <c r="D41" t="str">
        <f>"619.3"</f>
        <v>619.3</v>
      </c>
      <c r="E41" t="str">
        <f>"615.3"</f>
        <v>615.3</v>
      </c>
      <c r="F41" t="str">
        <f>"1,234.6"</f>
        <v>1,234.6</v>
      </c>
    </row>
    <row r="42" spans="1:6" x14ac:dyDescent="0.25">
      <c r="A42">
        <v>38</v>
      </c>
      <c r="B42" t="str">
        <f>"Parmley, Ashlynn (472912)"</f>
        <v>Parmley, Ashlynn (472912)</v>
      </c>
      <c r="C42" t="str">
        <f>"Fort Wayne , IN"</f>
        <v>Fort Wayne , IN</v>
      </c>
      <c r="D42" t="str">
        <f>"617.6"</f>
        <v>617.6</v>
      </c>
      <c r="E42" t="str">
        <f>"616.8"</f>
        <v>616.8</v>
      </c>
      <c r="F42" t="str">
        <f>"1,234.4"</f>
        <v>1,234.4</v>
      </c>
    </row>
    <row r="43" spans="1:6" x14ac:dyDescent="0.25">
      <c r="A43">
        <v>39</v>
      </c>
      <c r="B43" t="str">
        <f>"Hollowell, Elizabeth (245044)"</f>
        <v>Hollowell, Elizabeth (245044)</v>
      </c>
      <c r="C43" t="str">
        <f>"King George, VA"</f>
        <v>King George, VA</v>
      </c>
      <c r="D43" t="str">
        <f>"616.7"</f>
        <v>616.7</v>
      </c>
      <c r="E43" t="str">
        <f>"617.6"</f>
        <v>617.6</v>
      </c>
      <c r="F43" t="str">
        <f>"1,234.3"</f>
        <v>1,234.3</v>
      </c>
    </row>
    <row r="44" spans="1:6" x14ac:dyDescent="0.25">
      <c r="A44">
        <v>40</v>
      </c>
      <c r="B44" t="str">
        <f>"Moriarty, Shannon (319315)"</f>
        <v>Moriarty, Shannon (319315)</v>
      </c>
      <c r="C44" t="str">
        <f>"Great Mills, MD"</f>
        <v>Great Mills, MD</v>
      </c>
      <c r="D44" t="str">
        <f>"617.9"</f>
        <v>617.9</v>
      </c>
      <c r="E44" t="str">
        <f>"615.9"</f>
        <v>615.9</v>
      </c>
      <c r="F44" t="str">
        <f>"1,233.8"</f>
        <v>1,233.8</v>
      </c>
    </row>
    <row r="45" spans="1:6" x14ac:dyDescent="0.25">
      <c r="A45">
        <v>41</v>
      </c>
      <c r="B45" t="str">
        <f>"Muzik, Claudia (227604)"</f>
        <v>Muzik, Claudia (227604)</v>
      </c>
      <c r="C45" t="str">
        <f>"Green Springs, OH"</f>
        <v>Green Springs, OH</v>
      </c>
      <c r="D45" t="str">
        <f>"614.5"</f>
        <v>614.5</v>
      </c>
      <c r="E45" t="str">
        <f>"618.9"</f>
        <v>618.9</v>
      </c>
      <c r="F45" t="str">
        <f>"1,233.4"</f>
        <v>1,233.4</v>
      </c>
    </row>
    <row r="46" spans="1:6" x14ac:dyDescent="0.25">
      <c r="A46">
        <v>42</v>
      </c>
      <c r="B46" t="str">
        <f>"White, Anne (262921)"</f>
        <v>White, Anne (262921)</v>
      </c>
      <c r="C46" t="str">
        <f>"San Antonio, TX"</f>
        <v>San Antonio, TX</v>
      </c>
      <c r="D46" t="str">
        <f>"615.9"</f>
        <v>615.9</v>
      </c>
      <c r="E46" t="str">
        <f>"617.5"</f>
        <v>617.5</v>
      </c>
      <c r="F46" t="str">
        <f>"1,233.4"</f>
        <v>1,233.4</v>
      </c>
    </row>
    <row r="47" spans="1:6" x14ac:dyDescent="0.25">
      <c r="A47">
        <v>43</v>
      </c>
      <c r="B47" t="str">
        <f>"Schleinkofer, Gretchen (355182)"</f>
        <v>Schleinkofer, Gretchen (355182)</v>
      </c>
      <c r="C47" t="str">
        <f>"Fort Wayne, IN"</f>
        <v>Fort Wayne, IN</v>
      </c>
      <c r="D47" t="str">
        <f>"614.2"</f>
        <v>614.2</v>
      </c>
      <c r="E47" t="str">
        <f>"618.4"</f>
        <v>618.4</v>
      </c>
      <c r="F47" t="str">
        <f>"1,232.6"</f>
        <v>1,232.6</v>
      </c>
    </row>
    <row r="48" spans="1:6" x14ac:dyDescent="0.25">
      <c r="A48">
        <v>44</v>
      </c>
      <c r="B48" t="str">
        <f>"Blackman, Lillian (389896)"</f>
        <v>Blackman, Lillian (389896)</v>
      </c>
      <c r="C48" t="str">
        <f>"Fort Wayne, IN"</f>
        <v>Fort Wayne, IN</v>
      </c>
      <c r="D48" t="str">
        <f>"618.3"</f>
        <v>618.3</v>
      </c>
      <c r="E48" t="str">
        <f>"614.2"</f>
        <v>614.2</v>
      </c>
      <c r="F48" t="str">
        <f>"1,232.5"</f>
        <v>1,232.5</v>
      </c>
    </row>
    <row r="49" spans="1:6" x14ac:dyDescent="0.25">
      <c r="A49">
        <v>45</v>
      </c>
      <c r="B49" t="str">
        <f>"Wagner, Devin (437997)"</f>
        <v>Wagner, Devin (437997)</v>
      </c>
      <c r="C49" t="str">
        <f>"Jefferson Hills, PA"</f>
        <v>Jefferson Hills, PA</v>
      </c>
      <c r="D49" t="str">
        <f>"616.2"</f>
        <v>616.2</v>
      </c>
      <c r="E49" t="str">
        <f>"616.0"</f>
        <v>616.0</v>
      </c>
      <c r="F49" t="str">
        <f>"1,232.2"</f>
        <v>1,232.2</v>
      </c>
    </row>
    <row r="50" spans="1:6" x14ac:dyDescent="0.25">
      <c r="A50">
        <v>46</v>
      </c>
      <c r="B50" t="str">
        <f>"Somers, Emmaleine (475925)"</f>
        <v>Somers, Emmaleine (475925)</v>
      </c>
      <c r="C50" t="str">
        <f>"Oregon, OH"</f>
        <v>Oregon, OH</v>
      </c>
      <c r="D50" t="str">
        <f>"613.5"</f>
        <v>613.5</v>
      </c>
      <c r="E50" t="str">
        <f>"618.0"</f>
        <v>618.0</v>
      </c>
      <c r="F50" t="str">
        <f>"1,231.5"</f>
        <v>1,231.5</v>
      </c>
    </row>
    <row r="51" spans="1:6" x14ac:dyDescent="0.25">
      <c r="A51">
        <v>47</v>
      </c>
      <c r="B51" t="str">
        <f>"Paddock, Rachael (282179)"</f>
        <v>Paddock, Rachael (282179)</v>
      </c>
      <c r="C51" t="str">
        <f>"Perry, NY"</f>
        <v>Perry, NY</v>
      </c>
      <c r="D51" t="str">
        <f>"614.3"</f>
        <v>614.3</v>
      </c>
      <c r="E51" t="str">
        <f>"615.9"</f>
        <v>615.9</v>
      </c>
      <c r="F51" t="str">
        <f>"1,230.2"</f>
        <v>1,230.2</v>
      </c>
    </row>
    <row r="52" spans="1:6" x14ac:dyDescent="0.25">
      <c r="A52">
        <v>48</v>
      </c>
      <c r="B52" t="str">
        <f>"Johnson, Mallory (337879)"</f>
        <v>Johnson, Mallory (337879)</v>
      </c>
      <c r="C52" t="str">
        <f>"Cookeville, TN"</f>
        <v>Cookeville, TN</v>
      </c>
      <c r="D52" t="str">
        <f>"612.3"</f>
        <v>612.3</v>
      </c>
      <c r="E52" t="str">
        <f>"617.3"</f>
        <v>617.3</v>
      </c>
      <c r="F52" t="str">
        <f>"1,229.6"</f>
        <v>1,229.6</v>
      </c>
    </row>
    <row r="53" spans="1:6" x14ac:dyDescent="0.25">
      <c r="A53">
        <v>49</v>
      </c>
      <c r="B53" t="str">
        <f>"Williams, Kinzey (439242)"</f>
        <v>Williams, Kinzey (439242)</v>
      </c>
      <c r="C53" t="str">
        <f>"Everett, PA"</f>
        <v>Everett, PA</v>
      </c>
      <c r="D53" t="str">
        <f>"619.5"</f>
        <v>619.5</v>
      </c>
      <c r="E53" t="str">
        <f>"609.8"</f>
        <v>609.8</v>
      </c>
      <c r="F53" t="str">
        <f>"1,229.3"</f>
        <v>1,229.3</v>
      </c>
    </row>
    <row r="54" spans="1:6" x14ac:dyDescent="0.25">
      <c r="A54">
        <v>50</v>
      </c>
      <c r="B54" t="str">
        <f>"Warren, Lillian (257820)"</f>
        <v>Warren, Lillian (257820)</v>
      </c>
      <c r="C54" t="str">
        <f>"Perry, MI"</f>
        <v>Perry, MI</v>
      </c>
      <c r="D54" t="str">
        <f>"613.2"</f>
        <v>613.2</v>
      </c>
      <c r="E54" t="str">
        <f>"616.0"</f>
        <v>616.0</v>
      </c>
      <c r="F54" t="str">
        <f>"1,229.2"</f>
        <v>1,229.2</v>
      </c>
    </row>
    <row r="55" spans="1:6" x14ac:dyDescent="0.25">
      <c r="A55">
        <v>51</v>
      </c>
      <c r="B55" t="str">
        <f>"Westlake, Shannon (169092)"</f>
        <v>Westlake, Shannon (169092)</v>
      </c>
      <c r="C55" t="str">
        <f>"Utopia, ON"</f>
        <v>Utopia, ON</v>
      </c>
      <c r="D55" t="str">
        <f>"613.6"</f>
        <v>613.6</v>
      </c>
      <c r="E55" t="str">
        <f>"614.8"</f>
        <v>614.8</v>
      </c>
      <c r="F55" t="str">
        <f>"1,228.4"</f>
        <v>1,228.4</v>
      </c>
    </row>
    <row r="56" spans="1:6" x14ac:dyDescent="0.25">
      <c r="A56">
        <v>52</v>
      </c>
      <c r="B56" t="str">
        <f>"Mickle, Jolynn (459001)"</f>
        <v>Mickle, Jolynn (459001)</v>
      </c>
      <c r="C56" t="str">
        <f>"Alum Bank, PA"</f>
        <v>Alum Bank, PA</v>
      </c>
      <c r="D56" t="str">
        <f>"614.2"</f>
        <v>614.2</v>
      </c>
      <c r="E56" t="str">
        <f>"614.0"</f>
        <v>614.0</v>
      </c>
      <c r="F56" t="str">
        <f>"1,228.2"</f>
        <v>1,228.2</v>
      </c>
    </row>
    <row r="57" spans="1:6" x14ac:dyDescent="0.25">
      <c r="A57">
        <v>53</v>
      </c>
      <c r="B57" t="str">
        <f>"Jones, Kiley (366649)"</f>
        <v>Jones, Kiley (366649)</v>
      </c>
      <c r="C57" t="str">
        <f>"Colorado Springs, CO"</f>
        <v>Colorado Springs, CO</v>
      </c>
      <c r="D57" t="str">
        <f>"608.9"</f>
        <v>608.9</v>
      </c>
      <c r="E57" t="str">
        <f>"617.6"</f>
        <v>617.6</v>
      </c>
      <c r="F57" t="str">
        <f>"1,226.5"</f>
        <v>1,226.5</v>
      </c>
    </row>
    <row r="58" spans="1:6" x14ac:dyDescent="0.25">
      <c r="A58">
        <v>54</v>
      </c>
      <c r="B58" t="str">
        <f>"Muzik, Delilah (341669)"</f>
        <v>Muzik, Delilah (341669)</v>
      </c>
      <c r="C58" t="str">
        <f>"Green Springs, OH"</f>
        <v>Green Springs, OH</v>
      </c>
      <c r="D58" t="str">
        <f>"611.0"</f>
        <v>611.0</v>
      </c>
      <c r="E58" t="str">
        <f>"615.3"</f>
        <v>615.3</v>
      </c>
      <c r="F58" t="str">
        <f>"1,226.3"</f>
        <v>1,226.3</v>
      </c>
    </row>
    <row r="59" spans="1:6" x14ac:dyDescent="0.25">
      <c r="A59">
        <v>55</v>
      </c>
      <c r="B59" t="str">
        <f>"Downey, Kenly (394053)"</f>
        <v>Downey, Kenly (394053)</v>
      </c>
      <c r="C59" t="str">
        <f>"Farmer City , IL"</f>
        <v>Farmer City , IL</v>
      </c>
      <c r="D59" t="str">
        <f>"610.1"</f>
        <v>610.1</v>
      </c>
      <c r="E59" t="str">
        <f>"616.1"</f>
        <v>616.1</v>
      </c>
      <c r="F59" t="str">
        <f>"1,226.2"</f>
        <v>1,226.2</v>
      </c>
    </row>
    <row r="60" spans="1:6" x14ac:dyDescent="0.25">
      <c r="A60">
        <v>56</v>
      </c>
      <c r="B60" t="str">
        <f>"Mills, Laila (436909)"</f>
        <v>Mills, Laila (436909)</v>
      </c>
      <c r="C60" t="str">
        <f>"Everett, PA"</f>
        <v>Everett, PA</v>
      </c>
      <c r="D60" t="str">
        <f>"611.6"</f>
        <v>611.6</v>
      </c>
      <c r="E60" t="str">
        <f>"614.6"</f>
        <v>614.6</v>
      </c>
      <c r="F60" t="str">
        <f>"1,226.2"</f>
        <v>1,226.2</v>
      </c>
    </row>
    <row r="61" spans="1:6" x14ac:dyDescent="0.25">
      <c r="A61">
        <v>57</v>
      </c>
      <c r="B61" t="str">
        <f>"Zhang, Ling Yun (482149)"</f>
        <v>Zhang, Ling Yun (482149)</v>
      </c>
      <c r="C61" t="str">
        <f>"maple, ON"</f>
        <v>maple, ON</v>
      </c>
      <c r="D61" t="str">
        <f>"613.0"</f>
        <v>613.0</v>
      </c>
      <c r="E61" t="str">
        <f>"613.2"</f>
        <v>613.2</v>
      </c>
      <c r="F61" t="str">
        <f>"1,226.2"</f>
        <v>1,226.2</v>
      </c>
    </row>
    <row r="62" spans="1:6" x14ac:dyDescent="0.25">
      <c r="A62">
        <v>58</v>
      </c>
      <c r="B62" t="str">
        <f>"Allen, Madison (487559)"</f>
        <v>Allen, Madison (487559)</v>
      </c>
      <c r="C62" t="str">
        <f>"Sommerset, PA"</f>
        <v>Sommerset, PA</v>
      </c>
      <c r="D62" t="str">
        <f>"611.7"</f>
        <v>611.7</v>
      </c>
      <c r="E62" t="str">
        <f>"613.8"</f>
        <v>613.8</v>
      </c>
      <c r="F62" t="str">
        <f>"1,225.5"</f>
        <v>1,225.5</v>
      </c>
    </row>
    <row r="63" spans="1:6" x14ac:dyDescent="0.25">
      <c r="A63">
        <v>59</v>
      </c>
      <c r="B63" t="str">
        <f>"Foley, Grace (400444)"</f>
        <v>Foley, Grace (400444)</v>
      </c>
      <c r="C63" t="str">
        <f>"Pawtucket, RI"</f>
        <v>Pawtucket, RI</v>
      </c>
      <c r="D63" t="str">
        <f>"612.2"</f>
        <v>612.2</v>
      </c>
      <c r="E63" t="str">
        <f>"613.0"</f>
        <v>613.0</v>
      </c>
      <c r="F63" t="str">
        <f>"1,225.2"</f>
        <v>1,225.2</v>
      </c>
    </row>
    <row r="64" spans="1:6" x14ac:dyDescent="0.25">
      <c r="A64">
        <v>60</v>
      </c>
      <c r="B64" t="str">
        <f>"Dufresne, Hannah (361674)"</f>
        <v>Dufresne, Hannah (361674)</v>
      </c>
      <c r="C64" t="str">
        <f>"Boerne, TX"</f>
        <v>Boerne, TX</v>
      </c>
      <c r="D64" t="str">
        <f>"611.3"</f>
        <v>611.3</v>
      </c>
      <c r="E64" t="str">
        <f>"613.9"</f>
        <v>613.9</v>
      </c>
      <c r="F64" t="str">
        <f>"1,225.2"</f>
        <v>1,225.2</v>
      </c>
    </row>
    <row r="65" spans="1:6" x14ac:dyDescent="0.25">
      <c r="A65">
        <v>61</v>
      </c>
      <c r="B65" t="str">
        <f>"Hood, Ava (436236)"</f>
        <v>Hood, Ava (436236)</v>
      </c>
      <c r="C65" t="str">
        <f>"Clinton, IL"</f>
        <v>Clinton, IL</v>
      </c>
      <c r="D65" t="str">
        <f>"610.4"</f>
        <v>610.4</v>
      </c>
      <c r="E65" t="str">
        <f>"614.5"</f>
        <v>614.5</v>
      </c>
      <c r="F65" t="str">
        <f>"1,224.9"</f>
        <v>1,224.9</v>
      </c>
    </row>
    <row r="66" spans="1:6" x14ac:dyDescent="0.25">
      <c r="A66">
        <v>62</v>
      </c>
      <c r="B66" t="str">
        <f>"Allen, Kiersten (487562)"</f>
        <v>Allen, Kiersten (487562)</v>
      </c>
      <c r="C66" t="str">
        <f>"Sommerset, PA"</f>
        <v>Sommerset, PA</v>
      </c>
      <c r="D66" t="str">
        <f>"608.4"</f>
        <v>608.4</v>
      </c>
      <c r="E66" t="str">
        <f>"616.0"</f>
        <v>616.0</v>
      </c>
      <c r="F66" t="str">
        <f>"1,224.4"</f>
        <v>1,224.4</v>
      </c>
    </row>
    <row r="67" spans="1:6" x14ac:dyDescent="0.25">
      <c r="A67">
        <v>63</v>
      </c>
      <c r="B67" t="str">
        <f>"Wodka, Alexandra (490334)"</f>
        <v>Wodka, Alexandra (490334)</v>
      </c>
      <c r="C67" t="str">
        <f>"Scottsdale, AZ"</f>
        <v>Scottsdale, AZ</v>
      </c>
      <c r="D67" t="str">
        <f>"615.6"</f>
        <v>615.6</v>
      </c>
      <c r="E67" t="str">
        <f>"608.4"</f>
        <v>608.4</v>
      </c>
      <c r="F67" t="str">
        <f>"1,224.0"</f>
        <v>1,224.0</v>
      </c>
    </row>
    <row r="68" spans="1:6" x14ac:dyDescent="0.25">
      <c r="A68">
        <v>64</v>
      </c>
      <c r="B68" t="str">
        <f>"Fondy, Megan (395883)"</f>
        <v>Fondy, Megan (395883)</v>
      </c>
      <c r="C68" t="str">
        <f>"Georgetown , IN"</f>
        <v>Georgetown , IN</v>
      </c>
      <c r="D68" t="str">
        <f>"612.2"</f>
        <v>612.2</v>
      </c>
      <c r="E68" t="str">
        <f>"611.6"</f>
        <v>611.6</v>
      </c>
      <c r="F68" t="str">
        <f>"1,223.8"</f>
        <v>1,223.8</v>
      </c>
    </row>
    <row r="69" spans="1:6" x14ac:dyDescent="0.25">
      <c r="A69">
        <v>65</v>
      </c>
      <c r="B69" t="str">
        <f>"Whiteman, Elizabeth (434837)"</f>
        <v>Whiteman, Elizabeth (434837)</v>
      </c>
      <c r="C69" t="str">
        <f>"Washington, PA"</f>
        <v>Washington, PA</v>
      </c>
      <c r="D69" t="str">
        <f>"607.0"</f>
        <v>607.0</v>
      </c>
      <c r="E69" t="str">
        <f>"616.4"</f>
        <v>616.4</v>
      </c>
      <c r="F69" t="str">
        <f>"1,223.4"</f>
        <v>1,223.4</v>
      </c>
    </row>
    <row r="70" spans="1:6" x14ac:dyDescent="0.25">
      <c r="A70">
        <v>66</v>
      </c>
      <c r="B70" t="str">
        <f>"Xie, Wuyue (493676)"</f>
        <v>Xie, Wuyue (493676)</v>
      </c>
      <c r="C70" t="str">
        <f>"Woodstock, VA"</f>
        <v>Woodstock, VA</v>
      </c>
      <c r="D70" t="str">
        <f>"617.8"</f>
        <v>617.8</v>
      </c>
      <c r="E70" t="str">
        <f>"604.6"</f>
        <v>604.6</v>
      </c>
      <c r="F70" t="str">
        <f>"1,222.4"</f>
        <v>1,222.4</v>
      </c>
    </row>
    <row r="71" spans="1:6" x14ac:dyDescent="0.25">
      <c r="A71">
        <v>67</v>
      </c>
      <c r="B71" t="str">
        <f>"Degisi, Lilianna (430813)"</f>
        <v>Degisi, Lilianna (430813)</v>
      </c>
      <c r="C71" t="str">
        <f>"Arlington, VA"</f>
        <v>Arlington, VA</v>
      </c>
      <c r="D71" t="str">
        <f>"609.7"</f>
        <v>609.7</v>
      </c>
      <c r="E71" t="str">
        <f>"612.3"</f>
        <v>612.3</v>
      </c>
      <c r="F71" t="str">
        <f>"1,222.0"</f>
        <v>1,222.0</v>
      </c>
    </row>
    <row r="72" spans="1:6" x14ac:dyDescent="0.25">
      <c r="A72">
        <v>68</v>
      </c>
      <c r="B72" t="str">
        <f>"Green, Brenna (374331)"</f>
        <v>Green, Brenna (374331)</v>
      </c>
      <c r="C72" t="str">
        <f>"Comfort, TX"</f>
        <v>Comfort, TX</v>
      </c>
      <c r="D72" t="str">
        <f>"611.3"</f>
        <v>611.3</v>
      </c>
      <c r="E72" t="str">
        <f>"609.9"</f>
        <v>609.9</v>
      </c>
      <c r="F72" t="str">
        <f>"1,221.2"</f>
        <v>1,221.2</v>
      </c>
    </row>
    <row r="73" spans="1:6" x14ac:dyDescent="0.25">
      <c r="A73">
        <v>69</v>
      </c>
      <c r="B73" t="str">
        <f>"Welter, Natalie (406784)"</f>
        <v>Welter, Natalie (406784)</v>
      </c>
      <c r="C73" t="str">
        <f>"Foxburg, PA"</f>
        <v>Foxburg, PA</v>
      </c>
      <c r="D73" t="str">
        <f>"609.7"</f>
        <v>609.7</v>
      </c>
      <c r="E73" t="str">
        <f>"610.9"</f>
        <v>610.9</v>
      </c>
      <c r="F73" t="str">
        <f>"1,220.6"</f>
        <v>1,220.6</v>
      </c>
    </row>
    <row r="74" spans="1:6" x14ac:dyDescent="0.25">
      <c r="A74">
        <v>70</v>
      </c>
      <c r="B74" t="str">
        <f>"Morris, Christina (445266)"</f>
        <v>Morris, Christina (445266)</v>
      </c>
      <c r="C74" t="str">
        <f>"Yorktown, VA"</f>
        <v>Yorktown, VA</v>
      </c>
      <c r="D74" t="str">
        <f>"610.7"</f>
        <v>610.7</v>
      </c>
      <c r="E74" t="str">
        <f>"609.3"</f>
        <v>609.3</v>
      </c>
      <c r="F74" t="str">
        <f>"1,220.0"</f>
        <v>1,220.0</v>
      </c>
    </row>
    <row r="75" spans="1:6" x14ac:dyDescent="0.25">
      <c r="A75">
        <v>71</v>
      </c>
      <c r="B75" t="str">
        <f>"Velten, Emma (462661)"</f>
        <v>Velten, Emma (462661)</v>
      </c>
      <c r="C75" t="str">
        <f>"Henryville, IN"</f>
        <v>Henryville, IN</v>
      </c>
      <c r="D75" t="str">
        <f>"612.7"</f>
        <v>612.7</v>
      </c>
      <c r="E75" t="str">
        <f>"606.4"</f>
        <v>606.4</v>
      </c>
      <c r="F75" t="str">
        <f>"1,219.1"</f>
        <v>1,219.1</v>
      </c>
    </row>
    <row r="76" spans="1:6" x14ac:dyDescent="0.25">
      <c r="A76">
        <v>72</v>
      </c>
      <c r="B76" t="str">
        <f>"Mooney , Audrey  (456269)"</f>
        <v>Mooney , Audrey  (456269)</v>
      </c>
      <c r="C76" t="str">
        <f>"Springfield , VA"</f>
        <v>Springfield , VA</v>
      </c>
      <c r="D76" t="str">
        <f>"611.7"</f>
        <v>611.7</v>
      </c>
      <c r="E76" t="str">
        <f>"606.6"</f>
        <v>606.6</v>
      </c>
      <c r="F76" t="str">
        <f>"1,218.3"</f>
        <v>1,218.3</v>
      </c>
    </row>
    <row r="77" spans="1:6" x14ac:dyDescent="0.25">
      <c r="A77">
        <v>73</v>
      </c>
      <c r="B77" t="str">
        <f>"Qian, Chelsea (492324)"</f>
        <v>Qian, Chelsea (492324)</v>
      </c>
      <c r="C77" t="str">
        <f>"Canton, CT"</f>
        <v>Canton, CT</v>
      </c>
      <c r="D77" t="str">
        <f>"607.0"</f>
        <v>607.0</v>
      </c>
      <c r="E77" t="str">
        <f>"611.0"</f>
        <v>611.0</v>
      </c>
      <c r="F77" t="str">
        <f>"1,218.0"</f>
        <v>1,218.0</v>
      </c>
    </row>
    <row r="78" spans="1:6" x14ac:dyDescent="0.25">
      <c r="A78">
        <v>74</v>
      </c>
      <c r="B78" t="str">
        <f>"Wade, Sienna (388515)"</f>
        <v>Wade, Sienna (388515)</v>
      </c>
      <c r="C78" t="str">
        <f>"Fairfax, VA"</f>
        <v>Fairfax, VA</v>
      </c>
      <c r="D78" t="str">
        <f>"607.5"</f>
        <v>607.5</v>
      </c>
      <c r="E78" t="str">
        <f>"607.6"</f>
        <v>607.6</v>
      </c>
      <c r="F78" t="str">
        <f>"1,215.1"</f>
        <v>1,215.1</v>
      </c>
    </row>
    <row r="79" spans="1:6" x14ac:dyDescent="0.25">
      <c r="A79">
        <v>75</v>
      </c>
      <c r="B79" t="str">
        <f>"Miller, Lyla (450758)"</f>
        <v>Miller, Lyla (450758)</v>
      </c>
      <c r="C79" t="str">
        <f>"Fremont, OH"</f>
        <v>Fremont, OH</v>
      </c>
      <c r="D79" t="str">
        <f>"607.7"</f>
        <v>607.7</v>
      </c>
      <c r="E79" t="str">
        <f>"606.6"</f>
        <v>606.6</v>
      </c>
      <c r="F79" t="str">
        <f>"1,214.3"</f>
        <v>1,214.3</v>
      </c>
    </row>
    <row r="80" spans="1:6" x14ac:dyDescent="0.25">
      <c r="A80">
        <v>76</v>
      </c>
      <c r="B80" t="str">
        <f>"Solis, Princy (449115)"</f>
        <v>Solis, Princy (449115)</v>
      </c>
      <c r="C80" t="str">
        <f>"Saratoga Springs, NY"</f>
        <v>Saratoga Springs, NY</v>
      </c>
      <c r="D80" t="str">
        <f>"606.7"</f>
        <v>606.7</v>
      </c>
      <c r="E80" t="str">
        <f>"606.9"</f>
        <v>606.9</v>
      </c>
      <c r="F80" t="str">
        <f>"1,213.6"</f>
        <v>1,213.6</v>
      </c>
    </row>
    <row r="81" spans="1:6" x14ac:dyDescent="0.25">
      <c r="A81">
        <v>77</v>
      </c>
      <c r="B81" t="str">
        <f>"Anderson, Parker (469378)"</f>
        <v>Anderson, Parker (469378)</v>
      </c>
      <c r="C81" t="str">
        <f>"Yorktown, VA"</f>
        <v>Yorktown, VA</v>
      </c>
      <c r="D81" t="str">
        <f>"609.3"</f>
        <v>609.3</v>
      </c>
      <c r="E81" t="str">
        <f>"604.3"</f>
        <v>604.3</v>
      </c>
      <c r="F81" t="str">
        <f>"1,213.6"</f>
        <v>1,213.6</v>
      </c>
    </row>
    <row r="82" spans="1:6" x14ac:dyDescent="0.25">
      <c r="A82">
        <v>78</v>
      </c>
      <c r="B82" t="str">
        <f>"Rolli, Isabelle (467981)"</f>
        <v>Rolli, Isabelle (467981)</v>
      </c>
      <c r="C82" t="str">
        <f>"Belleville, WI"</f>
        <v>Belleville, WI</v>
      </c>
      <c r="D82" t="str">
        <f>"609.6"</f>
        <v>609.6</v>
      </c>
      <c r="E82" t="str">
        <f>"603.6"</f>
        <v>603.6</v>
      </c>
      <c r="F82" t="str">
        <f>"1,213.2"</f>
        <v>1,213.2</v>
      </c>
    </row>
    <row r="83" spans="1:6" x14ac:dyDescent="0.25">
      <c r="A83">
        <v>79</v>
      </c>
      <c r="B83" t="str">
        <f>"Miller, Meredith (457554)"</f>
        <v>Miller, Meredith (457554)</v>
      </c>
      <c r="C83" t="str">
        <f>"Green Springs, OH"</f>
        <v>Green Springs, OH</v>
      </c>
      <c r="D83" t="str">
        <f>"611.4"</f>
        <v>611.4</v>
      </c>
      <c r="E83" t="str">
        <f>"601.1"</f>
        <v>601.1</v>
      </c>
      <c r="F83" t="str">
        <f>"1,212.5"</f>
        <v>1,212.5</v>
      </c>
    </row>
    <row r="84" spans="1:6" x14ac:dyDescent="0.25">
      <c r="A84">
        <v>80</v>
      </c>
      <c r="B84" t="str">
        <f>"Soule, Rachel  (462566)"</f>
        <v>Soule, Rachel  (462566)</v>
      </c>
      <c r="C84" t="str">
        <f>"Itasca, TX"</f>
        <v>Itasca, TX</v>
      </c>
      <c r="D84" t="str">
        <f>"601.6"</f>
        <v>601.6</v>
      </c>
      <c r="E84" t="str">
        <f>"610.1"</f>
        <v>610.1</v>
      </c>
      <c r="F84" t="str">
        <f>"1,211.7"</f>
        <v>1,211.7</v>
      </c>
    </row>
    <row r="85" spans="1:6" x14ac:dyDescent="0.25">
      <c r="A85">
        <v>81</v>
      </c>
      <c r="B85" t="str">
        <f>"Gregory, Jessica (365337)"</f>
        <v>Gregory, Jessica (365337)</v>
      </c>
      <c r="C85" t="str">
        <f>"Morgantown, WV"</f>
        <v>Morgantown, WV</v>
      </c>
      <c r="D85" t="str">
        <f>"608.6"</f>
        <v>608.6</v>
      </c>
      <c r="E85" t="str">
        <f>"602.3"</f>
        <v>602.3</v>
      </c>
      <c r="F85" t="str">
        <f>"1,210.9"</f>
        <v>1,210.9</v>
      </c>
    </row>
    <row r="86" spans="1:6" x14ac:dyDescent="0.25">
      <c r="A86">
        <v>82</v>
      </c>
      <c r="B86" t="str">
        <f>"Dougherty, Briana (444636)"</f>
        <v>Dougherty, Briana (444636)</v>
      </c>
      <c r="C86" t="str">
        <f>"St. Marys, GA"</f>
        <v>St. Marys, GA</v>
      </c>
      <c r="D86" t="str">
        <f>"604.8"</f>
        <v>604.8</v>
      </c>
      <c r="E86" t="str">
        <f>"605.8"</f>
        <v>605.8</v>
      </c>
      <c r="F86" t="str">
        <f>"1,210.6"</f>
        <v>1,210.6</v>
      </c>
    </row>
    <row r="87" spans="1:6" x14ac:dyDescent="0.25">
      <c r="A87">
        <v>83</v>
      </c>
      <c r="B87" t="str">
        <f>"Munley, Kirstin (431261)"</f>
        <v>Munley, Kirstin (431261)</v>
      </c>
      <c r="C87" t="str">
        <f>"Pottsiville, PA"</f>
        <v>Pottsiville, PA</v>
      </c>
      <c r="D87" t="str">
        <f>"606.0"</f>
        <v>606.0</v>
      </c>
      <c r="E87" t="str">
        <f>"603.0"</f>
        <v>603.0</v>
      </c>
      <c r="F87" t="str">
        <f>"1,209.0"</f>
        <v>1,209.0</v>
      </c>
    </row>
    <row r="88" spans="1:6" x14ac:dyDescent="0.25">
      <c r="A88">
        <v>84</v>
      </c>
      <c r="B88" t="str">
        <f>"Reeke, Sally (301786)"</f>
        <v>Reeke, Sally (301786)</v>
      </c>
      <c r="C88" t="str">
        <f>"Clifton , VA"</f>
        <v>Clifton , VA</v>
      </c>
      <c r="D88" t="str">
        <f>"605.5"</f>
        <v>605.5</v>
      </c>
      <c r="E88" t="str">
        <f>"602.4"</f>
        <v>602.4</v>
      </c>
      <c r="F88" t="str">
        <f>"1,207.9"</f>
        <v>1,207.9</v>
      </c>
    </row>
    <row r="89" spans="1:6" x14ac:dyDescent="0.25">
      <c r="A89">
        <v>85</v>
      </c>
      <c r="B89" t="str">
        <f>"Schilmiller, Lacy (452943)"</f>
        <v>Schilmiller, Lacy (452943)</v>
      </c>
      <c r="C89" t="str">
        <f>"Floyds Knobs, IN"</f>
        <v>Floyds Knobs, IN</v>
      </c>
      <c r="D89" t="str">
        <f>"604.4"</f>
        <v>604.4</v>
      </c>
      <c r="E89" t="str">
        <f>"602.4"</f>
        <v>602.4</v>
      </c>
      <c r="F89" t="str">
        <f>"1,206.8"</f>
        <v>1,206.8</v>
      </c>
    </row>
    <row r="90" spans="1:6" x14ac:dyDescent="0.25">
      <c r="A90">
        <v>86</v>
      </c>
      <c r="B90" t="str">
        <f>"Kovacevic, Ariana (468318)"</f>
        <v>Kovacevic, Ariana (468318)</v>
      </c>
      <c r="C90" t="str">
        <f>"Orchard Park, NY"</f>
        <v>Orchard Park, NY</v>
      </c>
      <c r="D90" t="str">
        <f>"606.0"</f>
        <v>606.0</v>
      </c>
      <c r="E90" t="str">
        <f>"599.4"</f>
        <v>599.4</v>
      </c>
      <c r="F90" t="str">
        <f>"1,205.4"</f>
        <v>1,205.4</v>
      </c>
    </row>
    <row r="91" spans="1:6" x14ac:dyDescent="0.25">
      <c r="A91">
        <v>87</v>
      </c>
      <c r="B91" t="str">
        <f>"Napolitano, Maridia (454164)"</f>
        <v>Napolitano, Maridia (454164)</v>
      </c>
      <c r="C91" t="str">
        <f>"Hendersonville, TN"</f>
        <v>Hendersonville, TN</v>
      </c>
      <c r="D91" t="str">
        <f>"598.8"</f>
        <v>598.8</v>
      </c>
      <c r="E91" t="str">
        <f>"606.1"</f>
        <v>606.1</v>
      </c>
      <c r="F91" t="str">
        <f>"1,204.9"</f>
        <v>1,204.9</v>
      </c>
    </row>
    <row r="92" spans="1:6" x14ac:dyDescent="0.25">
      <c r="A92">
        <v>88</v>
      </c>
      <c r="B92" t="str">
        <f>"McKay, Kearney (487048)"</f>
        <v>McKay, Kearney (487048)</v>
      </c>
      <c r="C92" t="str">
        <f>"Minonk, IL"</f>
        <v>Minonk, IL</v>
      </c>
      <c r="D92" t="str">
        <f>"602.5"</f>
        <v>602.5</v>
      </c>
      <c r="E92" t="str">
        <f>"600.9"</f>
        <v>600.9</v>
      </c>
      <c r="F92" t="str">
        <f>"1,203.4"</f>
        <v>1,203.4</v>
      </c>
    </row>
    <row r="93" spans="1:6" x14ac:dyDescent="0.25">
      <c r="A93">
        <v>89</v>
      </c>
      <c r="B93" t="str">
        <f>"Miller, Catherine (487566)"</f>
        <v>Miller, Catherine (487566)</v>
      </c>
      <c r="C93" t="str">
        <f>"Darien, CT"</f>
        <v>Darien, CT</v>
      </c>
      <c r="D93" t="str">
        <f>"595.1"</f>
        <v>595.1</v>
      </c>
      <c r="E93" t="str">
        <f>"607.2"</f>
        <v>607.2</v>
      </c>
      <c r="F93" t="str">
        <f>"1,202.3"</f>
        <v>1,202.3</v>
      </c>
    </row>
    <row r="94" spans="1:6" x14ac:dyDescent="0.25">
      <c r="A94">
        <v>90</v>
      </c>
      <c r="B94" t="str">
        <f>"Tantanaseekun, Jaeda (434684)"</f>
        <v>Tantanaseekun, Jaeda (434684)</v>
      </c>
      <c r="C94" t="str">
        <f>"Highland, MD"</f>
        <v>Highland, MD</v>
      </c>
      <c r="D94" t="str">
        <f>"599.2"</f>
        <v>599.2</v>
      </c>
      <c r="E94" t="str">
        <f>"603.1"</f>
        <v>603.1</v>
      </c>
      <c r="F94" t="str">
        <f>"1,202.3"</f>
        <v>1,202.3</v>
      </c>
    </row>
    <row r="95" spans="1:6" x14ac:dyDescent="0.25">
      <c r="A95">
        <v>91</v>
      </c>
      <c r="B95" t="str">
        <f>"Graves, Clover (484852)"</f>
        <v>Graves, Clover (484852)</v>
      </c>
      <c r="C95" t="str">
        <f>"Pocantico Hills, NY"</f>
        <v>Pocantico Hills, NY</v>
      </c>
      <c r="D95" t="str">
        <f>"607.3"</f>
        <v>607.3</v>
      </c>
      <c r="E95" t="str">
        <f>"594.7"</f>
        <v>594.7</v>
      </c>
      <c r="F95" t="str">
        <f>"1,202.0"</f>
        <v>1,202.0</v>
      </c>
    </row>
    <row r="96" spans="1:6" x14ac:dyDescent="0.25">
      <c r="A96">
        <v>92</v>
      </c>
      <c r="B96" t="str">
        <f>"Hines, Avery (381198)"</f>
        <v>Hines, Avery (381198)</v>
      </c>
      <c r="C96" t="str">
        <f>"Lockbourne, OH"</f>
        <v>Lockbourne, OH</v>
      </c>
      <c r="D96" t="str">
        <f>"600.8"</f>
        <v>600.8</v>
      </c>
      <c r="E96" t="str">
        <f>"601.0"</f>
        <v>601.0</v>
      </c>
      <c r="F96" t="str">
        <f>"1,201.8"</f>
        <v>1,201.8</v>
      </c>
    </row>
    <row r="97" spans="1:6" x14ac:dyDescent="0.25">
      <c r="A97">
        <v>93</v>
      </c>
      <c r="B97" t="str">
        <f>"Beardsley, Myra (433506)"</f>
        <v>Beardsley, Myra (433506)</v>
      </c>
      <c r="C97" t="str">
        <f>"Linwood, NY"</f>
        <v>Linwood, NY</v>
      </c>
      <c r="D97" t="str">
        <f>"601.9"</f>
        <v>601.9</v>
      </c>
      <c r="E97" t="str">
        <f>"597.6"</f>
        <v>597.6</v>
      </c>
      <c r="F97" t="str">
        <f>"1,199.5"</f>
        <v>1,199.5</v>
      </c>
    </row>
    <row r="98" spans="1:6" x14ac:dyDescent="0.25">
      <c r="A98">
        <v>94</v>
      </c>
      <c r="B98" t="str">
        <f>"Sar, Soraya (387451)"</f>
        <v>Sar, Soraya (387451)</v>
      </c>
      <c r="C98" t="str">
        <f>"San Antonio, TX"</f>
        <v>San Antonio, TX</v>
      </c>
      <c r="D98" t="str">
        <f>"598.9"</f>
        <v>598.9</v>
      </c>
      <c r="E98" t="str">
        <f>"600.4"</f>
        <v>600.4</v>
      </c>
      <c r="F98" t="str">
        <f>"1,199.3"</f>
        <v>1,199.3</v>
      </c>
    </row>
    <row r="99" spans="1:6" x14ac:dyDescent="0.25">
      <c r="A99">
        <v>95</v>
      </c>
      <c r="B99" t="str">
        <f>"Urbach, Bailey (147514)"</f>
        <v>Urbach, Bailey (147514)</v>
      </c>
      <c r="C99" t="str">
        <f>"Hudson, NH"</f>
        <v>Hudson, NH</v>
      </c>
      <c r="D99" t="str">
        <f>"597.4"</f>
        <v>597.4</v>
      </c>
      <c r="E99" t="str">
        <f>"600.0"</f>
        <v>600.0</v>
      </c>
      <c r="F99" t="str">
        <f>"1,197.4"</f>
        <v>1,197.4</v>
      </c>
    </row>
    <row r="100" spans="1:6" x14ac:dyDescent="0.25">
      <c r="A100">
        <v>96</v>
      </c>
      <c r="B100" t="str">
        <f>"Luk, Cindy (189911)"</f>
        <v>Luk, Cindy (189911)</v>
      </c>
      <c r="C100" t="str">
        <f>"Maple, ONT"</f>
        <v>Maple, ONT</v>
      </c>
      <c r="D100" t="str">
        <f>"602.0"</f>
        <v>602.0</v>
      </c>
      <c r="E100" t="str">
        <f>"594.9"</f>
        <v>594.9</v>
      </c>
      <c r="F100" t="str">
        <f>"1,196.9"</f>
        <v>1,196.9</v>
      </c>
    </row>
    <row r="101" spans="1:6" x14ac:dyDescent="0.25">
      <c r="A101">
        <v>97</v>
      </c>
      <c r="B101" t="str">
        <f>"Fey, Bianca (470039)"</f>
        <v>Fey, Bianca (470039)</v>
      </c>
      <c r="C101" t="str">
        <f>"Fort Wayne, IN"</f>
        <v>Fort Wayne, IN</v>
      </c>
      <c r="D101" t="str">
        <f>"599.2"</f>
        <v>599.2</v>
      </c>
      <c r="E101" t="str">
        <f>"596.9"</f>
        <v>596.9</v>
      </c>
      <c r="F101" t="str">
        <f>"1,196.1"</f>
        <v>1,196.1</v>
      </c>
    </row>
    <row r="102" spans="1:6" x14ac:dyDescent="0.25">
      <c r="A102">
        <v>98</v>
      </c>
      <c r="B102" t="str">
        <f>"Griffiths, Anna (467973)"</f>
        <v>Griffiths, Anna (467973)</v>
      </c>
      <c r="C102" t="str">
        <f>"Cherry Tree, PA"</f>
        <v>Cherry Tree, PA</v>
      </c>
      <c r="D102" t="str">
        <f>"599.8"</f>
        <v>599.8</v>
      </c>
      <c r="E102" t="str">
        <f>"596.3"</f>
        <v>596.3</v>
      </c>
      <c r="F102" t="str">
        <f>"1,196.1"</f>
        <v>1,196.1</v>
      </c>
    </row>
    <row r="103" spans="1:6" x14ac:dyDescent="0.25">
      <c r="A103">
        <v>99</v>
      </c>
      <c r="B103" t="str">
        <f>"Chimera, Abigail (497784)"</f>
        <v>Chimera, Abigail (497784)</v>
      </c>
      <c r="C103" t="str">
        <f>"clarence center, NY"</f>
        <v>clarence center, NY</v>
      </c>
      <c r="D103" t="str">
        <f>"586.9"</f>
        <v>586.9</v>
      </c>
      <c r="E103" t="str">
        <f>"606.3"</f>
        <v>606.3</v>
      </c>
      <c r="F103" t="str">
        <f>"1,193.2"</f>
        <v>1,193.2</v>
      </c>
    </row>
    <row r="104" spans="1:6" x14ac:dyDescent="0.25">
      <c r="A104">
        <v>100</v>
      </c>
      <c r="B104" t="str">
        <f>"Canaday, Laura (512656)"</f>
        <v>Canaday, Laura (512656)</v>
      </c>
      <c r="C104" t="str">
        <f>"Bowie, MD"</f>
        <v>Bowie, MD</v>
      </c>
      <c r="D104" t="str">
        <f>"593.2"</f>
        <v>593.2</v>
      </c>
      <c r="E104" t="str">
        <f>"598.7"</f>
        <v>598.7</v>
      </c>
      <c r="F104" t="str">
        <f>"1,191.9"</f>
        <v>1,191.9</v>
      </c>
    </row>
    <row r="105" spans="1:6" x14ac:dyDescent="0.25">
      <c r="A105">
        <v>101</v>
      </c>
      <c r="B105" t="str">
        <f>"Fink, L. Hazel (372471)"</f>
        <v>Fink, L. Hazel (372471)</v>
      </c>
      <c r="C105" t="str">
        <f>"Fort Wayne, IN"</f>
        <v>Fort Wayne, IN</v>
      </c>
      <c r="D105" t="str">
        <f>"596.9"</f>
        <v>596.9</v>
      </c>
      <c r="E105" t="str">
        <f>"594.3"</f>
        <v>594.3</v>
      </c>
      <c r="F105" t="str">
        <f>"1,191.2"</f>
        <v>1,191.2</v>
      </c>
    </row>
    <row r="106" spans="1:6" x14ac:dyDescent="0.25">
      <c r="A106">
        <v>102</v>
      </c>
      <c r="B106" t="str">
        <f>"Kush, Aurora (427538)"</f>
        <v>Kush, Aurora (427538)</v>
      </c>
      <c r="C106" t="str">
        <f>"Cranberry, PA"</f>
        <v>Cranberry, PA</v>
      </c>
      <c r="D106" t="str">
        <f>"596.8"</f>
        <v>596.8</v>
      </c>
      <c r="E106" t="str">
        <f>"591.5"</f>
        <v>591.5</v>
      </c>
      <c r="F106" t="str">
        <f>"1,188.3"</f>
        <v>1,188.3</v>
      </c>
    </row>
    <row r="107" spans="1:6" x14ac:dyDescent="0.25">
      <c r="A107">
        <v>103</v>
      </c>
      <c r="B107" t="str">
        <f>"Su, Karen (485969)"</f>
        <v>Su, Karen (485969)</v>
      </c>
      <c r="C107" t="str">
        <f>"Richmond Hill, On"</f>
        <v>Richmond Hill, On</v>
      </c>
      <c r="D107" t="str">
        <f>"597.0"</f>
        <v>597.0</v>
      </c>
      <c r="E107" t="str">
        <f>"591.2"</f>
        <v>591.2</v>
      </c>
      <c r="F107" t="str">
        <f>"1,188.2"</f>
        <v>1,188.2</v>
      </c>
    </row>
    <row r="108" spans="1:6" x14ac:dyDescent="0.25">
      <c r="A108">
        <v>104</v>
      </c>
      <c r="B108" t="str">
        <f>"Smith, Madison (435156)"</f>
        <v>Smith, Madison (435156)</v>
      </c>
      <c r="C108" t="str">
        <f>"Bedford, PA"</f>
        <v>Bedford, PA</v>
      </c>
      <c r="D108" t="str">
        <f>"593.7"</f>
        <v>593.7</v>
      </c>
      <c r="E108" t="str">
        <f>"593.7"</f>
        <v>593.7</v>
      </c>
      <c r="F108" t="str">
        <f>"1,187.4"</f>
        <v>1,187.4</v>
      </c>
    </row>
    <row r="109" spans="1:6" x14ac:dyDescent="0.25">
      <c r="A109">
        <v>105</v>
      </c>
      <c r="B109" t="str">
        <f>"Spoltman, Samantha (498345)"</f>
        <v>Spoltman, Samantha (498345)</v>
      </c>
      <c r="C109" t="str">
        <f>"Roanoke, IN"</f>
        <v>Roanoke, IN</v>
      </c>
      <c r="D109" t="str">
        <f>"594.8"</f>
        <v>594.8</v>
      </c>
      <c r="E109" t="str">
        <f>"592.1"</f>
        <v>592.1</v>
      </c>
      <c r="F109" t="str">
        <f>"1,186.9"</f>
        <v>1,186.9</v>
      </c>
    </row>
    <row r="110" spans="1:6" x14ac:dyDescent="0.25">
      <c r="A110">
        <v>106</v>
      </c>
      <c r="B110" t="str">
        <f>"Sapp, Mattie (389353)"</f>
        <v>Sapp, Mattie (389353)</v>
      </c>
      <c r="C110" t="str">
        <f>"Baxley, GA"</f>
        <v>Baxley, GA</v>
      </c>
      <c r="D110" t="str">
        <f>"589.0"</f>
        <v>589.0</v>
      </c>
      <c r="E110" t="str">
        <f>"597.2"</f>
        <v>597.2</v>
      </c>
      <c r="F110" t="str">
        <f>"1,186.2"</f>
        <v>1,186.2</v>
      </c>
    </row>
    <row r="111" spans="1:6" x14ac:dyDescent="0.25">
      <c r="A111">
        <v>107</v>
      </c>
      <c r="B111" t="str">
        <f>"MacKenzie, Julia (495926)"</f>
        <v>MacKenzie, Julia (495926)</v>
      </c>
      <c r="C111" t="str">
        <f>"Belchertown, MA"</f>
        <v>Belchertown, MA</v>
      </c>
      <c r="D111" t="str">
        <f>"589.6"</f>
        <v>589.6</v>
      </c>
      <c r="E111" t="str">
        <f>"596.6"</f>
        <v>596.6</v>
      </c>
      <c r="F111" t="str">
        <f>"1,186.2"</f>
        <v>1,186.2</v>
      </c>
    </row>
    <row r="112" spans="1:6" x14ac:dyDescent="0.25">
      <c r="A112">
        <v>108</v>
      </c>
      <c r="B112" t="str">
        <f>"Ngu, Madelyn (459346)"</f>
        <v>Ngu, Madelyn (459346)</v>
      </c>
      <c r="C112" t="str">
        <f>"Springfield, VA"</f>
        <v>Springfield, VA</v>
      </c>
      <c r="D112" t="str">
        <f>"590.9"</f>
        <v>590.9</v>
      </c>
      <c r="E112" t="str">
        <f>"593.1"</f>
        <v>593.1</v>
      </c>
      <c r="F112" t="str">
        <f>"1,184.0"</f>
        <v>1,184.0</v>
      </c>
    </row>
    <row r="113" spans="1:6" x14ac:dyDescent="0.25">
      <c r="A113">
        <v>109</v>
      </c>
      <c r="B113" t="str">
        <f>"Wasson, Riley (496046)"</f>
        <v>Wasson, Riley (496046)</v>
      </c>
      <c r="C113" t="str">
        <f>"Kittanning , PA"</f>
        <v>Kittanning , PA</v>
      </c>
      <c r="D113" t="str">
        <f>"594.1"</f>
        <v>594.1</v>
      </c>
      <c r="E113" t="str">
        <f>"589.2"</f>
        <v>589.2</v>
      </c>
      <c r="F113" t="str">
        <f>"1,183.3"</f>
        <v>1,183.3</v>
      </c>
    </row>
    <row r="114" spans="1:6" x14ac:dyDescent="0.25">
      <c r="A114">
        <v>110</v>
      </c>
      <c r="B114" t="str">
        <f>"Valenta, Emily (370630)"</f>
        <v>Valenta, Emily (370630)</v>
      </c>
      <c r="C114" t="str">
        <f>"Harrison City, PA"</f>
        <v>Harrison City, PA</v>
      </c>
      <c r="D114" t="str">
        <f>"588.3"</f>
        <v>588.3</v>
      </c>
      <c r="E114" t="str">
        <f>"594.8"</f>
        <v>594.8</v>
      </c>
      <c r="F114" t="str">
        <f>"1,183.1"</f>
        <v>1,183.1</v>
      </c>
    </row>
    <row r="115" spans="1:6" x14ac:dyDescent="0.25">
      <c r="A115">
        <v>111</v>
      </c>
      <c r="B115" t="str">
        <f>"Martin, Elliot (472950)"</f>
        <v>Martin, Elliot (472950)</v>
      </c>
      <c r="C115" t="str">
        <f>"Rose Bud, AR"</f>
        <v>Rose Bud, AR</v>
      </c>
      <c r="D115" t="str">
        <f>"588.8"</f>
        <v>588.8</v>
      </c>
      <c r="E115" t="str">
        <f>"592.6"</f>
        <v>592.6</v>
      </c>
      <c r="F115" t="str">
        <f>"1,181.4"</f>
        <v>1,181.4</v>
      </c>
    </row>
    <row r="116" spans="1:6" x14ac:dyDescent="0.25">
      <c r="A116">
        <v>112</v>
      </c>
      <c r="B116" t="str">
        <f>"Altman, Lilly (372490)"</f>
        <v>Altman, Lilly (372490)</v>
      </c>
      <c r="C116" t="str">
        <f>"Huntertown, IN"</f>
        <v>Huntertown, IN</v>
      </c>
      <c r="D116" t="str">
        <f>"589.7"</f>
        <v>589.7</v>
      </c>
      <c r="E116" t="str">
        <f>"591.4"</f>
        <v>591.4</v>
      </c>
      <c r="F116" t="str">
        <f>"1,181.1"</f>
        <v>1,181.1</v>
      </c>
    </row>
    <row r="117" spans="1:6" x14ac:dyDescent="0.25">
      <c r="A117">
        <v>113</v>
      </c>
      <c r="B117" t="str">
        <f>"Harris, Ruby (469909)"</f>
        <v>Harris, Ruby (469909)</v>
      </c>
      <c r="C117" t="str">
        <f>"Troy, OH"</f>
        <v>Troy, OH</v>
      </c>
      <c r="D117" t="str">
        <f>"592.8"</f>
        <v>592.8</v>
      </c>
      <c r="E117" t="str">
        <f>"587.7"</f>
        <v>587.7</v>
      </c>
      <c r="F117" t="str">
        <f>"1,180.5"</f>
        <v>1,180.5</v>
      </c>
    </row>
    <row r="118" spans="1:6" x14ac:dyDescent="0.25">
      <c r="A118">
        <v>114</v>
      </c>
      <c r="B118" t="str">
        <f>"Palamara, Anastasia (431766)"</f>
        <v>Palamara, Anastasia (431766)</v>
      </c>
      <c r="C118" t="str">
        <f>"Huntingtown, MD"</f>
        <v>Huntingtown, MD</v>
      </c>
      <c r="D118" t="str">
        <f>"586.9"</f>
        <v>586.9</v>
      </c>
      <c r="E118" t="str">
        <f>"591.6"</f>
        <v>591.6</v>
      </c>
      <c r="F118" t="str">
        <f>"1,178.5"</f>
        <v>1,178.5</v>
      </c>
    </row>
    <row r="119" spans="1:6" x14ac:dyDescent="0.25">
      <c r="A119">
        <v>115</v>
      </c>
      <c r="B119" t="str">
        <f>"Rogers, Mackenzie (469568)"</f>
        <v>Rogers, Mackenzie (469568)</v>
      </c>
      <c r="C119" t="str">
        <f>"Hartford, KY"</f>
        <v>Hartford, KY</v>
      </c>
      <c r="D119" t="str">
        <f>"590.5"</f>
        <v>590.5</v>
      </c>
      <c r="E119" t="str">
        <f>"585.2"</f>
        <v>585.2</v>
      </c>
      <c r="F119" t="str">
        <f>"1,175.7"</f>
        <v>1,175.7</v>
      </c>
    </row>
    <row r="120" spans="1:6" x14ac:dyDescent="0.25">
      <c r="A120">
        <v>116</v>
      </c>
      <c r="B120" t="str">
        <f>"Lockard, Brook (466136)"</f>
        <v>Lockard, Brook (466136)</v>
      </c>
      <c r="C120" t="str">
        <f>"Salisbury, NC"</f>
        <v>Salisbury, NC</v>
      </c>
      <c r="D120" t="str">
        <f>"585.0"</f>
        <v>585.0</v>
      </c>
      <c r="E120" t="str">
        <f>"590.3"</f>
        <v>590.3</v>
      </c>
      <c r="F120" t="str">
        <f>"1,175.3"</f>
        <v>1,175.3</v>
      </c>
    </row>
    <row r="121" spans="1:6" x14ac:dyDescent="0.25">
      <c r="A121">
        <v>117</v>
      </c>
      <c r="B121" t="str">
        <f>"Lin, Melody (463480)"</f>
        <v>Lin, Melody (463480)</v>
      </c>
      <c r="C121" t="str">
        <f>"Trenton, OH"</f>
        <v>Trenton, OH</v>
      </c>
      <c r="D121" t="str">
        <f>"587.6"</f>
        <v>587.6</v>
      </c>
      <c r="E121" t="str">
        <f>"584.4"</f>
        <v>584.4</v>
      </c>
      <c r="F121" t="str">
        <f>"1,172.0"</f>
        <v>1,172.0</v>
      </c>
    </row>
    <row r="122" spans="1:6" x14ac:dyDescent="0.25">
      <c r="A122">
        <v>118</v>
      </c>
      <c r="B122" t="str">
        <f>"Miller, Lauren (449442)"</f>
        <v>Miller, Lauren (449442)</v>
      </c>
      <c r="C122" t="str">
        <f>"Fremont, OH"</f>
        <v>Fremont, OH</v>
      </c>
      <c r="D122" t="str">
        <f>"582.3"</f>
        <v>582.3</v>
      </c>
      <c r="E122" t="str">
        <f>"586.1"</f>
        <v>586.1</v>
      </c>
      <c r="F122" t="str">
        <f>"1,168.4"</f>
        <v>1,168.4</v>
      </c>
    </row>
    <row r="123" spans="1:6" x14ac:dyDescent="0.25">
      <c r="A123">
        <v>119</v>
      </c>
      <c r="B123" t="str">
        <f>"Nuwere, Miyabi (502537)"</f>
        <v>Nuwere, Miyabi (502537)</v>
      </c>
      <c r="C123" t="str">
        <f>"Springfield, VA"</f>
        <v>Springfield, VA</v>
      </c>
      <c r="D123" t="str">
        <f>"585.8"</f>
        <v>585.8</v>
      </c>
      <c r="E123" t="str">
        <f>"581.8"</f>
        <v>581.8</v>
      </c>
      <c r="F123" t="str">
        <f>"1,167.6"</f>
        <v>1,167.6</v>
      </c>
    </row>
    <row r="124" spans="1:6" x14ac:dyDescent="0.25">
      <c r="A124">
        <v>120</v>
      </c>
      <c r="B124" t="str">
        <f>"Knaus, Anna (407493)"</f>
        <v>Knaus, Anna (407493)</v>
      </c>
      <c r="C124" t="str">
        <f>"Marietta, OH"</f>
        <v>Marietta, OH</v>
      </c>
      <c r="D124" t="str">
        <f>"587.2"</f>
        <v>587.2</v>
      </c>
      <c r="E124" t="str">
        <f>"580.4"</f>
        <v>580.4</v>
      </c>
      <c r="F124" t="str">
        <f>"1,167.6"</f>
        <v>1,167.6</v>
      </c>
    </row>
    <row r="125" spans="1:6" x14ac:dyDescent="0.25">
      <c r="A125">
        <v>121</v>
      </c>
      <c r="B125" t="str">
        <f>"Forgues, Phoebe (403128)"</f>
        <v>Forgues, Phoebe (403128)</v>
      </c>
      <c r="C125" t="str">
        <f>"Shrewsbury, MA"</f>
        <v>Shrewsbury, MA</v>
      </c>
      <c r="D125" t="str">
        <f>"577.8"</f>
        <v>577.8</v>
      </c>
      <c r="E125" t="str">
        <f>"589.4"</f>
        <v>589.4</v>
      </c>
      <c r="F125" t="str">
        <f>"1,167.2"</f>
        <v>1,167.2</v>
      </c>
    </row>
    <row r="126" spans="1:6" x14ac:dyDescent="0.25">
      <c r="A126">
        <v>122</v>
      </c>
      <c r="B126" t="str">
        <f>"Sundararaman, Tara (452759)"</f>
        <v>Sundararaman, Tara (452759)</v>
      </c>
      <c r="C126" t="str">
        <f>"Manassas, VA"</f>
        <v>Manassas, VA</v>
      </c>
      <c r="D126" t="str">
        <f>"578.2"</f>
        <v>578.2</v>
      </c>
      <c r="E126" t="str">
        <f>"586.8"</f>
        <v>586.8</v>
      </c>
      <c r="F126" t="str">
        <f>"1,165.0"</f>
        <v>1,165.0</v>
      </c>
    </row>
    <row r="127" spans="1:6" x14ac:dyDescent="0.25">
      <c r="A127">
        <v>123</v>
      </c>
      <c r="B127" t="str">
        <f>"Sun, Yolanda (512223)"</f>
        <v>Sun, Yolanda (512223)</v>
      </c>
      <c r="C127" t="str">
        <f>"Maple, OH"</f>
        <v>Maple, OH</v>
      </c>
      <c r="D127" t="str">
        <f>"579.4"</f>
        <v>579.4</v>
      </c>
      <c r="E127" t="str">
        <f>"584.7"</f>
        <v>584.7</v>
      </c>
      <c r="F127" t="str">
        <f>"1,164.1"</f>
        <v>1,164.1</v>
      </c>
    </row>
    <row r="128" spans="1:6" x14ac:dyDescent="0.25">
      <c r="A128">
        <v>124</v>
      </c>
      <c r="B128" t="str">
        <f>"McCullough, Molly (465334)"</f>
        <v>McCullough, Molly (465334)</v>
      </c>
      <c r="C128" t="str">
        <f>"Juda, WI"</f>
        <v>Juda, WI</v>
      </c>
      <c r="D128" t="str">
        <f>"582.0"</f>
        <v>582.0</v>
      </c>
      <c r="E128" t="str">
        <f>"579.1"</f>
        <v>579.1</v>
      </c>
      <c r="F128" t="str">
        <f>"1,161.1"</f>
        <v>1,161.1</v>
      </c>
    </row>
    <row r="129" spans="1:6" x14ac:dyDescent="0.25">
      <c r="A129">
        <v>125</v>
      </c>
      <c r="B129" t="str">
        <f>"Martin, Evan (459423)"</f>
        <v>Martin, Evan (459423)</v>
      </c>
      <c r="C129" t="str">
        <f>"Rose Bud, AR"</f>
        <v>Rose Bud, AR</v>
      </c>
      <c r="D129" t="str">
        <f>"583.3"</f>
        <v>583.3</v>
      </c>
      <c r="E129" t="str">
        <f>"576.2"</f>
        <v>576.2</v>
      </c>
      <c r="F129" t="str">
        <f>"1,159.5"</f>
        <v>1,159.5</v>
      </c>
    </row>
    <row r="130" spans="1:6" x14ac:dyDescent="0.25">
      <c r="A130">
        <v>126</v>
      </c>
      <c r="B130" t="str">
        <f>"He, Victoria (473939)"</f>
        <v>He, Victoria (473939)</v>
      </c>
      <c r="C130" t="str">
        <f>"Eldersburg, MD"</f>
        <v>Eldersburg, MD</v>
      </c>
      <c r="D130" t="str">
        <f>"577.4"</f>
        <v>577.4</v>
      </c>
      <c r="E130" t="str">
        <f>"581.4"</f>
        <v>581.4</v>
      </c>
      <c r="F130" t="str">
        <f>"1,158.8"</f>
        <v>1,158.8</v>
      </c>
    </row>
    <row r="131" spans="1:6" x14ac:dyDescent="0.25">
      <c r="A131">
        <v>127</v>
      </c>
      <c r="B131" t="str">
        <f>"Gordon, Lila (512658)"</f>
        <v>Gordon, Lila (512658)</v>
      </c>
      <c r="C131" t="str">
        <f>"Kempton, PA"</f>
        <v>Kempton, PA</v>
      </c>
      <c r="D131" t="str">
        <f>"569.9"</f>
        <v>569.9</v>
      </c>
      <c r="E131" t="str">
        <f>"580.2"</f>
        <v>580.2</v>
      </c>
      <c r="F131" t="str">
        <f>"1,150.1"</f>
        <v>1,150.1</v>
      </c>
    </row>
    <row r="132" spans="1:6" x14ac:dyDescent="0.25">
      <c r="A132">
        <v>128</v>
      </c>
      <c r="B132" t="str">
        <f>"Barnett, Amelia (463187)"</f>
        <v>Barnett, Amelia (463187)</v>
      </c>
      <c r="C132" t="str">
        <f>"Portland, TN"</f>
        <v>Portland, TN</v>
      </c>
      <c r="D132" t="str">
        <f>"569.6"</f>
        <v>569.6</v>
      </c>
      <c r="E132" t="str">
        <f>"578.0"</f>
        <v>578.0</v>
      </c>
      <c r="F132" t="str">
        <f>"1,147.6"</f>
        <v>1,147.6</v>
      </c>
    </row>
    <row r="133" spans="1:6" x14ac:dyDescent="0.25">
      <c r="A133">
        <v>129</v>
      </c>
      <c r="B133" t="str">
        <f>"Larrow, Lila (475322)"</f>
        <v>Larrow, Lila (475322)</v>
      </c>
      <c r="C133" t="str">
        <f>"Lakeland , FL"</f>
        <v>Lakeland , FL</v>
      </c>
      <c r="D133" t="str">
        <f>"569.5"</f>
        <v>569.5</v>
      </c>
      <c r="E133" t="str">
        <f>"576.3"</f>
        <v>576.3</v>
      </c>
      <c r="F133" t="str">
        <f>"1,145.8"</f>
        <v>1,145.8</v>
      </c>
    </row>
    <row r="134" spans="1:6" x14ac:dyDescent="0.25">
      <c r="A134">
        <v>130</v>
      </c>
      <c r="B134" t="str">
        <f>"DeAmaral, Ava (441851)"</f>
        <v>DeAmaral, Ava (441851)</v>
      </c>
      <c r="C134" t="str">
        <f>"Cumberland, RI"</f>
        <v>Cumberland, RI</v>
      </c>
      <c r="D134" t="str">
        <f>"559.2"</f>
        <v>559.2</v>
      </c>
      <c r="E134" t="str">
        <f>"576.7"</f>
        <v>576.7</v>
      </c>
      <c r="F134" t="str">
        <f>"1,135.9"</f>
        <v>1,135.9</v>
      </c>
    </row>
    <row r="135" spans="1:6" x14ac:dyDescent="0.25">
      <c r="A135">
        <v>131</v>
      </c>
      <c r="B135" t="str">
        <f>"Injeti, Adithi (512659)"</f>
        <v>Injeti, Adithi (512659)</v>
      </c>
      <c r="C135" t="str">
        <f>"?, FL"</f>
        <v>?, FL</v>
      </c>
      <c r="D135" t="str">
        <f>"552.2"</f>
        <v>552.2</v>
      </c>
      <c r="E135" t="str">
        <f>"572.0"</f>
        <v>572.0</v>
      </c>
      <c r="F135" t="str">
        <f>"1,124.2"</f>
        <v>1,124.2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44051-BD5D-46A8-A558-DC73CC255EE4}">
  <dimension ref="A1:T27"/>
  <sheetViews>
    <sheetView workbookViewId="0">
      <selection activeCell="A16" sqref="A16:S30"/>
    </sheetView>
  </sheetViews>
  <sheetFormatPr defaultRowHeight="15" x14ac:dyDescent="0.25"/>
  <cols>
    <col min="1" max="1" width="42.7109375" bestFit="1" customWidth="1"/>
    <col min="2" max="2" width="28.85546875" bestFit="1" customWidth="1"/>
    <col min="3" max="3" width="25.7109375" bestFit="1" customWidth="1"/>
  </cols>
  <sheetData>
    <row r="1" spans="1:20" x14ac:dyDescent="0.25">
      <c r="A1" t="str">
        <f>"2025 USA Shooting Winter Air Gun - Camp Perry"</f>
        <v>2025 USA Shooting Winter Air Gun - Camp Perry</v>
      </c>
    </row>
    <row r="2" spans="1:20" x14ac:dyDescent="0.25">
      <c r="A2" t="str">
        <f>"Open Women"</f>
        <v>Open Women</v>
      </c>
    </row>
    <row r="3" spans="1:20" x14ac:dyDescent="0.25">
      <c r="A3" t="str">
        <f>""</f>
        <v/>
      </c>
    </row>
    <row r="4" spans="1:20" x14ac:dyDescent="0.25">
      <c r="A4" t="str">
        <f>"Place"</f>
        <v>Place</v>
      </c>
      <c r="B4" t="str">
        <f>"Competitor (Comp Num)"</f>
        <v>Competitor (Comp Num)</v>
      </c>
      <c r="C4" t="str">
        <f>"Hometown"</f>
        <v>Hometown</v>
      </c>
      <c r="D4" t="str">
        <f>"ISSF Final, First 5 Shot Stage"</f>
        <v>ISSF Final, First 5 Shot Stage</v>
      </c>
      <c r="E4" t="str">
        <f>"ISSF Final, Second 5 Shot"</f>
        <v>ISSF Final, Second 5 Shot</v>
      </c>
      <c r="F4" t="str">
        <f>"ISSF Final, First 2 Shot"</f>
        <v>ISSF Final, First 2 Shot</v>
      </c>
      <c r="G4" t="str">
        <f>"ISSF Final, Shootoff after F3"</f>
        <v>ISSF Final, Shootoff after F3</v>
      </c>
      <c r="H4" t="str">
        <f>"ISSF Final, Second 2 Shot"</f>
        <v>ISSF Final, Second 2 Shot</v>
      </c>
      <c r="I4" t="str">
        <f>"ISSF Final, Shootoff after F4"</f>
        <v>ISSF Final, Shootoff after F4</v>
      </c>
      <c r="J4" t="str">
        <f>"ISSF Final, Third 2 Shot"</f>
        <v>ISSF Final, Third 2 Shot</v>
      </c>
      <c r="K4" t="str">
        <f>"ISSF Final, Shootoff after F5"</f>
        <v>ISSF Final, Shootoff after F5</v>
      </c>
      <c r="L4" t="str">
        <f>"ISSF Final, Fourth 2 Shot"</f>
        <v>ISSF Final, Fourth 2 Shot</v>
      </c>
      <c r="M4" t="str">
        <f>"ISSF Final, Shootoff after F6"</f>
        <v>ISSF Final, Shootoff after F6</v>
      </c>
      <c r="N4" t="str">
        <f>"ISSF Final, Fifth 2 Shot"</f>
        <v>ISSF Final, Fifth 2 Shot</v>
      </c>
      <c r="O4" t="str">
        <f>"ISSF Final, Shootoff after F7"</f>
        <v>ISSF Final, Shootoff after F7</v>
      </c>
      <c r="P4" t="str">
        <f>"ISSF Final, Sixth 2 Shot"</f>
        <v>ISSF Final, Sixth 2 Shot</v>
      </c>
      <c r="Q4" t="str">
        <f>"ISSF Final, Shootoff after F8"</f>
        <v>ISSF Final, Shootoff after F8</v>
      </c>
      <c r="R4" t="str">
        <f>"ISSF Final, Seventh 2 Shot"</f>
        <v>ISSF Final, Seventh 2 Shot</v>
      </c>
      <c r="S4" t="str">
        <f>"ISSF Final, Shootoff after F9"</f>
        <v>ISSF Final, Shootoff after F9</v>
      </c>
      <c r="T4" t="str">
        <f>"Aggregate"</f>
        <v>Aggregate</v>
      </c>
    </row>
    <row r="5" spans="1:20" x14ac:dyDescent="0.25">
      <c r="A5">
        <v>1</v>
      </c>
      <c r="B5" t="str">
        <f>"Weisz, Alison, SGT, USA (54339)"</f>
        <v>Weisz, Alison, SGT, USA (54339)</v>
      </c>
      <c r="C5" t="str">
        <f>"Belgrade, MT"</f>
        <v>Belgrade, MT</v>
      </c>
      <c r="D5" t="str">
        <f>"51.9"</f>
        <v>51.9</v>
      </c>
      <c r="E5" t="str">
        <f>"53.1"</f>
        <v>53.1</v>
      </c>
      <c r="F5" t="str">
        <f>"21.0"</f>
        <v>21.0</v>
      </c>
      <c r="G5" t="str">
        <f>""</f>
        <v/>
      </c>
      <c r="H5" t="str">
        <f>"21.1"</f>
        <v>21.1</v>
      </c>
      <c r="I5" t="str">
        <f>""</f>
        <v/>
      </c>
      <c r="J5" t="str">
        <f>"20.8"</f>
        <v>20.8</v>
      </c>
      <c r="K5" t="str">
        <f>""</f>
        <v/>
      </c>
      <c r="L5" t="str">
        <f>"21.1"</f>
        <v>21.1</v>
      </c>
      <c r="M5" t="str">
        <f>""</f>
        <v/>
      </c>
      <c r="N5" t="str">
        <f>"20.8"</f>
        <v>20.8</v>
      </c>
      <c r="O5" t="str">
        <f>""</f>
        <v/>
      </c>
      <c r="P5" t="str">
        <f>"21.7"</f>
        <v>21.7</v>
      </c>
      <c r="Q5" t="str">
        <f>""</f>
        <v/>
      </c>
      <c r="R5" t="str">
        <f>"20.5"</f>
        <v>20.5</v>
      </c>
      <c r="S5" t="str">
        <f>""</f>
        <v/>
      </c>
      <c r="T5" t="str">
        <f>"252.0"</f>
        <v>252.0</v>
      </c>
    </row>
    <row r="6" spans="1:20" x14ac:dyDescent="0.25">
      <c r="A6">
        <v>2</v>
      </c>
      <c r="B6" t="str">
        <f>"Probst, Elizabeth (290200)"</f>
        <v>Probst, Elizabeth (290200)</v>
      </c>
      <c r="C6" t="str">
        <f>"Brady, TX"</f>
        <v>Brady, TX</v>
      </c>
      <c r="D6" t="str">
        <f>"51.4"</f>
        <v>51.4</v>
      </c>
      <c r="E6" t="str">
        <f>"52.7"</f>
        <v>52.7</v>
      </c>
      <c r="F6" t="str">
        <f>"21.1"</f>
        <v>21.1</v>
      </c>
      <c r="G6" t="str">
        <f>""</f>
        <v/>
      </c>
      <c r="H6" t="str">
        <f>"21.0"</f>
        <v>21.0</v>
      </c>
      <c r="I6" t="str">
        <f>""</f>
        <v/>
      </c>
      <c r="J6" t="str">
        <f>"20.8"</f>
        <v>20.8</v>
      </c>
      <c r="K6" t="str">
        <f>""</f>
        <v/>
      </c>
      <c r="L6" t="str">
        <f>"20.9"</f>
        <v>20.9</v>
      </c>
      <c r="M6" t="str">
        <f>""</f>
        <v/>
      </c>
      <c r="N6" t="str">
        <f>"21.1"</f>
        <v>21.1</v>
      </c>
      <c r="O6" t="str">
        <f>""</f>
        <v/>
      </c>
      <c r="P6" t="str">
        <f>"21.4"</f>
        <v>21.4</v>
      </c>
      <c r="Q6" t="str">
        <f>""</f>
        <v/>
      </c>
      <c r="R6" t="str">
        <f>"20.0"</f>
        <v>20.0</v>
      </c>
      <c r="S6" t="str">
        <f>""</f>
        <v/>
      </c>
      <c r="T6" t="str">
        <f>"250.4"</f>
        <v>250.4</v>
      </c>
    </row>
    <row r="7" spans="1:20" x14ac:dyDescent="0.25">
      <c r="A7">
        <v>3</v>
      </c>
      <c r="B7" t="str">
        <f>"Valenta, Carlee (339877)"</f>
        <v>Valenta, Carlee (339877)</v>
      </c>
      <c r="C7" t="str">
        <f>"Harrison City, PA"</f>
        <v>Harrison City, PA</v>
      </c>
      <c r="D7" t="str">
        <f>"52.5"</f>
        <v>52.5</v>
      </c>
      <c r="E7" t="str">
        <f>"51.6"</f>
        <v>51.6</v>
      </c>
      <c r="F7" t="str">
        <f>"21.3"</f>
        <v>21.3</v>
      </c>
      <c r="G7" t="str">
        <f>""</f>
        <v/>
      </c>
      <c r="H7" t="str">
        <f>"21.4"</f>
        <v>21.4</v>
      </c>
      <c r="I7" t="str">
        <f>""</f>
        <v/>
      </c>
      <c r="J7" t="str">
        <f>"20.7"</f>
        <v>20.7</v>
      </c>
      <c r="K7" t="str">
        <f>""</f>
        <v/>
      </c>
      <c r="L7" t="str">
        <f>"21.2"</f>
        <v>21.2</v>
      </c>
      <c r="M7" t="str">
        <f>""</f>
        <v/>
      </c>
      <c r="N7" t="str">
        <f>"19.9"</f>
        <v>19.9</v>
      </c>
      <c r="O7" t="str">
        <f>""</f>
        <v/>
      </c>
      <c r="P7" t="str">
        <f>"21.3"</f>
        <v>21.3</v>
      </c>
      <c r="Q7" t="str">
        <f>""</f>
        <v/>
      </c>
      <c r="R7" t="str">
        <f>""</f>
        <v/>
      </c>
      <c r="S7" t="str">
        <f>""</f>
        <v/>
      </c>
      <c r="T7" t="str">
        <f>"229.9"</f>
        <v>229.9</v>
      </c>
    </row>
    <row r="8" spans="1:20" x14ac:dyDescent="0.25">
      <c r="A8">
        <v>4</v>
      </c>
      <c r="B8" t="str">
        <f>"Walrath, Emme (369838)"</f>
        <v>Walrath, Emme (369838)</v>
      </c>
      <c r="C8" t="str">
        <f>"Kenosha, WI"</f>
        <v>Kenosha, WI</v>
      </c>
      <c r="D8" t="str">
        <f>"51.5"</f>
        <v>51.5</v>
      </c>
      <c r="E8" t="str">
        <f>"51.9"</f>
        <v>51.9</v>
      </c>
      <c r="F8" t="str">
        <f>"21.2"</f>
        <v>21.2</v>
      </c>
      <c r="G8" t="str">
        <f>""</f>
        <v/>
      </c>
      <c r="H8" t="str">
        <f>"21.2"</f>
        <v>21.2</v>
      </c>
      <c r="I8" t="str">
        <f>""</f>
        <v/>
      </c>
      <c r="J8" t="str">
        <f>"20.6"</f>
        <v>20.6</v>
      </c>
      <c r="K8" t="str">
        <f>""</f>
        <v/>
      </c>
      <c r="L8" t="str">
        <f>"20.9"</f>
        <v>20.9</v>
      </c>
      <c r="M8" t="str">
        <f>""</f>
        <v/>
      </c>
      <c r="N8" t="str">
        <f>"20.1"</f>
        <v>20.1</v>
      </c>
      <c r="O8" t="str">
        <f>""</f>
        <v/>
      </c>
      <c r="P8" t="str">
        <f>""</f>
        <v/>
      </c>
      <c r="Q8" t="str">
        <f>""</f>
        <v/>
      </c>
      <c r="R8" t="str">
        <f>""</f>
        <v/>
      </c>
      <c r="S8" t="str">
        <f>""</f>
        <v/>
      </c>
      <c r="T8" t="str">
        <f>"207.4"</f>
        <v>207.4</v>
      </c>
    </row>
    <row r="9" spans="1:20" x14ac:dyDescent="0.25">
      <c r="A9">
        <v>5</v>
      </c>
      <c r="B9" t="str">
        <f>"Baldwin, Isabella (347836)"</f>
        <v>Baldwin, Isabella (347836)</v>
      </c>
      <c r="C9" t="str">
        <f>"Nashville, TN"</f>
        <v>Nashville, TN</v>
      </c>
      <c r="D9" t="str">
        <f>"52.5"</f>
        <v>52.5</v>
      </c>
      <c r="E9" t="str">
        <f>"51.1"</f>
        <v>51.1</v>
      </c>
      <c r="F9" t="str">
        <f>"21.0"</f>
        <v>21.0</v>
      </c>
      <c r="G9" t="str">
        <f>""</f>
        <v/>
      </c>
      <c r="H9" t="str">
        <f>"21.1"</f>
        <v>21.1</v>
      </c>
      <c r="I9" t="str">
        <f>""</f>
        <v/>
      </c>
      <c r="J9" t="str">
        <f>"21.0"</f>
        <v>21.0</v>
      </c>
      <c r="K9" t="str">
        <f>""</f>
        <v/>
      </c>
      <c r="L9" t="str">
        <f>"20.3"</f>
        <v>20.3</v>
      </c>
      <c r="M9" t="str">
        <f>""</f>
        <v/>
      </c>
      <c r="N9" t="str">
        <f>""</f>
        <v/>
      </c>
      <c r="O9" t="str">
        <f>""</f>
        <v/>
      </c>
      <c r="P9" t="str">
        <f>""</f>
        <v/>
      </c>
      <c r="Q9" t="str">
        <f>""</f>
        <v/>
      </c>
      <c r="R9" t="str">
        <f>""</f>
        <v/>
      </c>
      <c r="S9" t="str">
        <f>""</f>
        <v/>
      </c>
      <c r="T9" t="str">
        <f>"187.0"</f>
        <v>187.0</v>
      </c>
    </row>
    <row r="10" spans="1:20" x14ac:dyDescent="0.25">
      <c r="A10">
        <v>6</v>
      </c>
      <c r="B10" t="str">
        <f>"Bodrogi, Alexa  (406163)"</f>
        <v>Bodrogi, Alexa  (406163)</v>
      </c>
      <c r="C10" t="str">
        <f>"Bridgewater, NJ"</f>
        <v>Bridgewater, NJ</v>
      </c>
      <c r="D10" t="str">
        <f>"51.7"</f>
        <v>51.7</v>
      </c>
      <c r="E10" t="str">
        <f>"52.2"</f>
        <v>52.2</v>
      </c>
      <c r="F10" t="str">
        <f>"20.7"</f>
        <v>20.7</v>
      </c>
      <c r="G10" t="str">
        <f>""</f>
        <v/>
      </c>
      <c r="H10" t="str">
        <f>"20.7"</f>
        <v>20.7</v>
      </c>
      <c r="I10" t="str">
        <f>""</f>
        <v/>
      </c>
      <c r="J10" t="str">
        <f>"20.1"</f>
        <v>20.1</v>
      </c>
      <c r="K10" t="str">
        <f>""</f>
        <v/>
      </c>
      <c r="L10" t="str">
        <f>""</f>
        <v/>
      </c>
      <c r="M10" t="str">
        <f>""</f>
        <v/>
      </c>
      <c r="N10" t="str">
        <f>""</f>
        <v/>
      </c>
      <c r="O10" t="str">
        <f>""</f>
        <v/>
      </c>
      <c r="P10" t="str">
        <f>""</f>
        <v/>
      </c>
      <c r="Q10" t="str">
        <f>""</f>
        <v/>
      </c>
      <c r="R10" t="str">
        <f>""</f>
        <v/>
      </c>
      <c r="S10" t="str">
        <f>""</f>
        <v/>
      </c>
      <c r="T10" t="str">
        <f>"165.4"</f>
        <v>165.4</v>
      </c>
    </row>
    <row r="11" spans="1:20" x14ac:dyDescent="0.25">
      <c r="A11">
        <v>7</v>
      </c>
      <c r="B11" t="str">
        <f>"Camp, Camryn (364938)"</f>
        <v>Camp, Camryn (364938)</v>
      </c>
      <c r="C11" t="str">
        <f>"Hillsboro , TX"</f>
        <v>Hillsboro , TX</v>
      </c>
      <c r="D11" t="str">
        <f>"52.2"</f>
        <v>52.2</v>
      </c>
      <c r="E11" t="str">
        <f>"50.8"</f>
        <v>50.8</v>
      </c>
      <c r="F11" t="str">
        <f>"20.9"</f>
        <v>20.9</v>
      </c>
      <c r="G11" t="str">
        <f>""</f>
        <v/>
      </c>
      <c r="H11" t="str">
        <f>"20.7"</f>
        <v>20.7</v>
      </c>
      <c r="I11" t="str">
        <f>""</f>
        <v/>
      </c>
      <c r="J11" t="str">
        <f>""</f>
        <v/>
      </c>
      <c r="K11" t="str">
        <f>""</f>
        <v/>
      </c>
      <c r="L11" t="str">
        <f>""</f>
        <v/>
      </c>
      <c r="M11" t="str">
        <f>""</f>
        <v/>
      </c>
      <c r="N11" t="str">
        <f>""</f>
        <v/>
      </c>
      <c r="O11" t="str">
        <f>""</f>
        <v/>
      </c>
      <c r="P11" t="str">
        <f>""</f>
        <v/>
      </c>
      <c r="Q11" t="str">
        <f>""</f>
        <v/>
      </c>
      <c r="R11" t="str">
        <f>""</f>
        <v/>
      </c>
      <c r="S11" t="str">
        <f>""</f>
        <v/>
      </c>
      <c r="T11" t="str">
        <f>"144.6"</f>
        <v>144.6</v>
      </c>
    </row>
    <row r="12" spans="1:20" x14ac:dyDescent="0.25">
      <c r="A12">
        <v>8</v>
      </c>
      <c r="B12" t="str">
        <f>"Schmeltzer, Elizabeth (167916)"</f>
        <v>Schmeltzer, Elizabeth (167916)</v>
      </c>
      <c r="C12" t="str">
        <f>"Sandusky, OH"</f>
        <v>Sandusky, OH</v>
      </c>
      <c r="D12" t="str">
        <f>"51.5"</f>
        <v>51.5</v>
      </c>
      <c r="E12" t="str">
        <f>"51.1"</f>
        <v>51.1</v>
      </c>
      <c r="F12" t="str">
        <f>"20.7"</f>
        <v>20.7</v>
      </c>
      <c r="G12" t="str">
        <f>""</f>
        <v/>
      </c>
      <c r="H12" t="str">
        <f>""</f>
        <v/>
      </c>
      <c r="I12" t="str">
        <f>""</f>
        <v/>
      </c>
      <c r="J12" t="str">
        <f>""</f>
        <v/>
      </c>
      <c r="K12" t="str">
        <f>""</f>
        <v/>
      </c>
      <c r="L12" t="str">
        <f>""</f>
        <v/>
      </c>
      <c r="M12" t="str">
        <f>""</f>
        <v/>
      </c>
      <c r="N12" t="str">
        <f>""</f>
        <v/>
      </c>
      <c r="O12" t="str">
        <f>""</f>
        <v/>
      </c>
      <c r="P12" t="str">
        <f>""</f>
        <v/>
      </c>
      <c r="Q12" t="str">
        <f>""</f>
        <v/>
      </c>
      <c r="R12" t="str">
        <f>""</f>
        <v/>
      </c>
      <c r="S12" t="str">
        <f>""</f>
        <v/>
      </c>
      <c r="T12" t="str">
        <f>"123.3"</f>
        <v>123.3</v>
      </c>
    </row>
    <row r="16" spans="1:20" x14ac:dyDescent="0.25">
      <c r="A16" t="str">
        <f>"2025 USA Shooting Winter Air Gun - Camp Perry"</f>
        <v>2025 USA Shooting Winter Air Gun - Camp Perry</v>
      </c>
    </row>
    <row r="17" spans="1:19" x14ac:dyDescent="0.25">
      <c r="A17" t="str">
        <f>"Junior Women's Final"</f>
        <v>Junior Women's Final</v>
      </c>
    </row>
    <row r="18" spans="1:19" x14ac:dyDescent="0.25">
      <c r="A18" t="str">
        <f>""</f>
        <v/>
      </c>
    </row>
    <row r="19" spans="1:19" x14ac:dyDescent="0.25">
      <c r="A19" t="str">
        <f>"Place"</f>
        <v>Place</v>
      </c>
      <c r="B19" t="str">
        <f>"Competitor (Comp Num)"</f>
        <v>Competitor (Comp Num)</v>
      </c>
      <c r="C19" t="str">
        <f>"ISSF Final, First 5 Shot Stage"</f>
        <v>ISSF Final, First 5 Shot Stage</v>
      </c>
      <c r="D19" t="str">
        <f>"ISSF Final, Second 5 Shot"</f>
        <v>ISSF Final, Second 5 Shot</v>
      </c>
      <c r="E19" t="str">
        <f>"ISSF Final, First 2 Shot"</f>
        <v>ISSF Final, First 2 Shot</v>
      </c>
      <c r="F19" t="str">
        <f>"ISSF Final, Shootoff after F3"</f>
        <v>ISSF Final, Shootoff after F3</v>
      </c>
      <c r="G19" t="str">
        <f>"ISSF Final, Second 2 Shot"</f>
        <v>ISSF Final, Second 2 Shot</v>
      </c>
      <c r="H19" t="str">
        <f>"ISSF Final, Shootoff after F4"</f>
        <v>ISSF Final, Shootoff after F4</v>
      </c>
      <c r="I19" t="str">
        <f>"ISSF Final, Third 2 Shot"</f>
        <v>ISSF Final, Third 2 Shot</v>
      </c>
      <c r="J19" t="str">
        <f>"ISSF Final, Shootoff after F5"</f>
        <v>ISSF Final, Shootoff after F5</v>
      </c>
      <c r="K19" t="str">
        <f>"ISSF Final, Fourth 2 Shot"</f>
        <v>ISSF Final, Fourth 2 Shot</v>
      </c>
      <c r="L19" t="str">
        <f>"ISSF Final, Shootoff after F6"</f>
        <v>ISSF Final, Shootoff after F6</v>
      </c>
      <c r="M19" t="str">
        <f>"ISSF Final, Fifth 2 Shot"</f>
        <v>ISSF Final, Fifth 2 Shot</v>
      </c>
      <c r="N19" t="str">
        <f>"ISSF Final, Shootoff after F7"</f>
        <v>ISSF Final, Shootoff after F7</v>
      </c>
      <c r="O19" t="str">
        <f>"ISSF Final, Sixth 2 Shot"</f>
        <v>ISSF Final, Sixth 2 Shot</v>
      </c>
      <c r="P19" t="str">
        <f>"ISSF Final, Shootoff after F8"</f>
        <v>ISSF Final, Shootoff after F8</v>
      </c>
      <c r="Q19" t="str">
        <f>"ISSF Final, Seventh 2 Shot"</f>
        <v>ISSF Final, Seventh 2 Shot</v>
      </c>
      <c r="R19" t="str">
        <f>"ISSF Final, Shootoff after F9"</f>
        <v>ISSF Final, Shootoff after F9</v>
      </c>
      <c r="S19" t="str">
        <f>"Aggregate"</f>
        <v>Aggregate</v>
      </c>
    </row>
    <row r="20" spans="1:19" x14ac:dyDescent="0.25">
      <c r="A20">
        <v>1</v>
      </c>
      <c r="B20" t="str">
        <f>"Wytko, Lily (322167)"</f>
        <v>Wytko, Lily (322167)</v>
      </c>
      <c r="C20" t="str">
        <f>"52.8"</f>
        <v>52.8</v>
      </c>
      <c r="D20" t="str">
        <f>"53.4"</f>
        <v>53.4</v>
      </c>
      <c r="E20" t="str">
        <f>"21.2"</f>
        <v>21.2</v>
      </c>
      <c r="F20" t="str">
        <f>""</f>
        <v/>
      </c>
      <c r="G20" t="str">
        <f>"20.9"</f>
        <v>20.9</v>
      </c>
      <c r="H20" t="str">
        <f>""</f>
        <v/>
      </c>
      <c r="I20" t="str">
        <f>"20.8"</f>
        <v>20.8</v>
      </c>
      <c r="J20" t="str">
        <f>""</f>
        <v/>
      </c>
      <c r="K20" t="str">
        <f>"21.1"</f>
        <v>21.1</v>
      </c>
      <c r="L20" t="str">
        <f>""</f>
        <v/>
      </c>
      <c r="M20" t="str">
        <f>"21.1"</f>
        <v>21.1</v>
      </c>
      <c r="N20" t="str">
        <f>""</f>
        <v/>
      </c>
      <c r="O20" t="str">
        <f>"21.2"</f>
        <v>21.2</v>
      </c>
      <c r="P20" t="str">
        <f>""</f>
        <v/>
      </c>
      <c r="Q20" t="str">
        <f>"20.9"</f>
        <v>20.9</v>
      </c>
      <c r="R20" t="str">
        <f>""</f>
        <v/>
      </c>
      <c r="S20" t="str">
        <f>"253.4"</f>
        <v>253.4</v>
      </c>
    </row>
    <row r="21" spans="1:19" x14ac:dyDescent="0.25">
      <c r="A21">
        <v>2</v>
      </c>
      <c r="B21" t="str">
        <f>"Probst, Elizabeth (290200)"</f>
        <v>Probst, Elizabeth (290200)</v>
      </c>
      <c r="C21" t="str">
        <f>"53.4"</f>
        <v>53.4</v>
      </c>
      <c r="D21" t="str">
        <f>"52.5"</f>
        <v>52.5</v>
      </c>
      <c r="E21" t="str">
        <f>"21.1"</f>
        <v>21.1</v>
      </c>
      <c r="F21" t="str">
        <f>""</f>
        <v/>
      </c>
      <c r="G21" t="str">
        <f>"21.0"</f>
        <v>21.0</v>
      </c>
      <c r="H21" t="str">
        <f>""</f>
        <v/>
      </c>
      <c r="I21" t="str">
        <f>"21.0"</f>
        <v>21.0</v>
      </c>
      <c r="J21" t="str">
        <f>""</f>
        <v/>
      </c>
      <c r="K21" t="str">
        <f>"21.0"</f>
        <v>21.0</v>
      </c>
      <c r="L21" t="str">
        <f>""</f>
        <v/>
      </c>
      <c r="M21" t="str">
        <f>"21.0"</f>
        <v>21.0</v>
      </c>
      <c r="N21" t="str">
        <f>""</f>
        <v/>
      </c>
      <c r="O21" t="str">
        <f>"20.9"</f>
        <v>20.9</v>
      </c>
      <c r="P21" t="str">
        <f>""</f>
        <v/>
      </c>
      <c r="Q21" t="str">
        <f>"21.3"</f>
        <v>21.3</v>
      </c>
      <c r="R21" t="str">
        <f>""</f>
        <v/>
      </c>
      <c r="S21" t="str">
        <f>"253.2"</f>
        <v>253.2</v>
      </c>
    </row>
    <row r="22" spans="1:19" x14ac:dyDescent="0.25">
      <c r="A22">
        <v>3</v>
      </c>
      <c r="B22" t="str">
        <f>"Baldwin, Isabella (347836)"</f>
        <v>Baldwin, Isabella (347836)</v>
      </c>
      <c r="C22" t="str">
        <f>"53.0"</f>
        <v>53.0</v>
      </c>
      <c r="D22" t="str">
        <f>"52.2"</f>
        <v>52.2</v>
      </c>
      <c r="E22" t="str">
        <f>"20.9"</f>
        <v>20.9</v>
      </c>
      <c r="F22" t="str">
        <f>""</f>
        <v/>
      </c>
      <c r="G22" t="str">
        <f>"20.9"</f>
        <v>20.9</v>
      </c>
      <c r="H22" t="str">
        <f>""</f>
        <v/>
      </c>
      <c r="I22" t="str">
        <f>"21.3"</f>
        <v>21.3</v>
      </c>
      <c r="J22" t="str">
        <f>""</f>
        <v/>
      </c>
      <c r="K22" t="str">
        <f>"21.3"</f>
        <v>21.3</v>
      </c>
      <c r="L22" t="str">
        <f>""</f>
        <v/>
      </c>
      <c r="M22" t="str">
        <f>"21.0"</f>
        <v>21.0</v>
      </c>
      <c r="N22" t="str">
        <f>""</f>
        <v/>
      </c>
      <c r="O22" t="str">
        <f>"20.9"</f>
        <v>20.9</v>
      </c>
      <c r="P22" t="str">
        <f>""</f>
        <v/>
      </c>
      <c r="Q22" t="str">
        <f>""</f>
        <v/>
      </c>
      <c r="R22" t="str">
        <f>""</f>
        <v/>
      </c>
      <c r="S22" t="str">
        <f>"231.5"</f>
        <v>231.5</v>
      </c>
    </row>
    <row r="23" spans="1:19" x14ac:dyDescent="0.25">
      <c r="A23">
        <v>4</v>
      </c>
      <c r="B23" t="str">
        <f>"Camp, Camryn (364938)"</f>
        <v>Camp, Camryn (364938)</v>
      </c>
      <c r="C23" t="str">
        <f>"51.6"</f>
        <v>51.6</v>
      </c>
      <c r="D23" t="str">
        <f>"51.3"</f>
        <v>51.3</v>
      </c>
      <c r="E23" t="str">
        <f>"21.4"</f>
        <v>21.4</v>
      </c>
      <c r="F23" t="str">
        <f>""</f>
        <v/>
      </c>
      <c r="G23" t="str">
        <f>"21.1"</f>
        <v>21.1</v>
      </c>
      <c r="H23" t="str">
        <f>""</f>
        <v/>
      </c>
      <c r="I23" t="str">
        <f>"20.1"</f>
        <v>20.1</v>
      </c>
      <c r="J23" t="str">
        <f>""</f>
        <v/>
      </c>
      <c r="K23" t="str">
        <f>"21.0"</f>
        <v>21.0</v>
      </c>
      <c r="L23" t="str">
        <f>""</f>
        <v/>
      </c>
      <c r="M23" t="str">
        <f>"19.9"</f>
        <v>19.9</v>
      </c>
      <c r="N23" t="str">
        <f>""</f>
        <v/>
      </c>
      <c r="O23" t="str">
        <f>""</f>
        <v/>
      </c>
      <c r="P23" t="str">
        <f>""</f>
        <v/>
      </c>
      <c r="Q23" t="str">
        <f>""</f>
        <v/>
      </c>
      <c r="R23" t="str">
        <f>""</f>
        <v/>
      </c>
      <c r="S23" t="str">
        <f>"206.4"</f>
        <v>206.4</v>
      </c>
    </row>
    <row r="24" spans="1:19" x14ac:dyDescent="0.25">
      <c r="A24">
        <v>5</v>
      </c>
      <c r="B24" t="str">
        <f>"Valenta, Carlee (339877)"</f>
        <v>Valenta, Carlee (339877)</v>
      </c>
      <c r="C24" t="str">
        <f>"51.4"</f>
        <v>51.4</v>
      </c>
      <c r="D24" t="str">
        <f>"51.7"</f>
        <v>51.7</v>
      </c>
      <c r="E24" t="str">
        <f>"20.9"</f>
        <v>20.9</v>
      </c>
      <c r="F24" t="str">
        <f>""</f>
        <v/>
      </c>
      <c r="G24" t="str">
        <f>"21.5"</f>
        <v>21.5</v>
      </c>
      <c r="H24" t="str">
        <f>""</f>
        <v/>
      </c>
      <c r="I24" t="str">
        <f>"20.7"</f>
        <v>20.7</v>
      </c>
      <c r="J24" t="str">
        <f>""</f>
        <v/>
      </c>
      <c r="K24" t="str">
        <f>"20.0"</f>
        <v>20.0</v>
      </c>
      <c r="L24" t="str">
        <f>""</f>
        <v/>
      </c>
      <c r="M24" t="str">
        <f>""</f>
        <v/>
      </c>
      <c r="N24" t="str">
        <f>""</f>
        <v/>
      </c>
      <c r="O24" t="str">
        <f>""</f>
        <v/>
      </c>
      <c r="P24" t="str">
        <f>""</f>
        <v/>
      </c>
      <c r="Q24" t="str">
        <f>""</f>
        <v/>
      </c>
      <c r="R24" t="str">
        <f>""</f>
        <v/>
      </c>
      <c r="S24" t="str">
        <f>"186.2"</f>
        <v>186.2</v>
      </c>
    </row>
    <row r="25" spans="1:19" x14ac:dyDescent="0.25">
      <c r="A25">
        <v>6</v>
      </c>
      <c r="B25" t="str">
        <f>"Walrath, Emme (369838)"</f>
        <v>Walrath, Emme (369838)</v>
      </c>
      <c r="C25" t="str">
        <f>"50.8"</f>
        <v>50.8</v>
      </c>
      <c r="D25" t="str">
        <f>"51.9"</f>
        <v>51.9</v>
      </c>
      <c r="E25" t="str">
        <f>"20.5"</f>
        <v>20.5</v>
      </c>
      <c r="F25" t="str">
        <f>""</f>
        <v/>
      </c>
      <c r="G25" t="str">
        <f>"20.9"</f>
        <v>20.9</v>
      </c>
      <c r="H25" t="str">
        <f>""</f>
        <v/>
      </c>
      <c r="I25" t="str">
        <f>"21.0"</f>
        <v>21.0</v>
      </c>
      <c r="J25" t="str">
        <f>""</f>
        <v/>
      </c>
      <c r="K25" t="str">
        <f>""</f>
        <v/>
      </c>
      <c r="L25" t="str">
        <f>""</f>
        <v/>
      </c>
      <c r="M25" t="str">
        <f>""</f>
        <v/>
      </c>
      <c r="N25" t="str">
        <f>""</f>
        <v/>
      </c>
      <c r="O25" t="str">
        <f>""</f>
        <v/>
      </c>
      <c r="P25" t="str">
        <f>""</f>
        <v/>
      </c>
      <c r="Q25" t="str">
        <f>""</f>
        <v/>
      </c>
      <c r="R25" t="str">
        <f>""</f>
        <v/>
      </c>
      <c r="S25" t="str">
        <f>"165.1"</f>
        <v>165.1</v>
      </c>
    </row>
    <row r="26" spans="1:19" x14ac:dyDescent="0.25">
      <c r="A26">
        <v>7</v>
      </c>
      <c r="B26" t="str">
        <f>"Bodrogi, Alexa  (406163)"</f>
        <v>Bodrogi, Alexa  (406163)</v>
      </c>
      <c r="C26" t="str">
        <f>"50.6"</f>
        <v>50.6</v>
      </c>
      <c r="D26" t="str">
        <f>"51.9"</f>
        <v>51.9</v>
      </c>
      <c r="E26" t="str">
        <f>"20.4"</f>
        <v>20.4</v>
      </c>
      <c r="F26" t="str">
        <f>""</f>
        <v/>
      </c>
      <c r="G26" t="str">
        <f>"20.3"</f>
        <v>20.3</v>
      </c>
      <c r="H26" t="str">
        <f>""</f>
        <v/>
      </c>
      <c r="I26" t="str">
        <f>""</f>
        <v/>
      </c>
      <c r="J26" t="str">
        <f>""</f>
        <v/>
      </c>
      <c r="K26" t="str">
        <f>""</f>
        <v/>
      </c>
      <c r="L26" t="str">
        <f>""</f>
        <v/>
      </c>
      <c r="M26" t="str">
        <f>""</f>
        <v/>
      </c>
      <c r="N26" t="str">
        <f>""</f>
        <v/>
      </c>
      <c r="O26" t="str">
        <f>""</f>
        <v/>
      </c>
      <c r="P26" t="str">
        <f>""</f>
        <v/>
      </c>
      <c r="Q26" t="str">
        <f>""</f>
        <v/>
      </c>
      <c r="R26" t="str">
        <f>""</f>
        <v/>
      </c>
      <c r="S26" t="str">
        <f>"143.2"</f>
        <v>143.2</v>
      </c>
    </row>
    <row r="27" spans="1:19" x14ac:dyDescent="0.25">
      <c r="A27">
        <v>8</v>
      </c>
      <c r="B27" t="str">
        <f>"Talbott, Hannah (482748)"</f>
        <v>Talbott, Hannah (482748)</v>
      </c>
      <c r="C27" t="str">
        <f>"50.6"</f>
        <v>50.6</v>
      </c>
      <c r="D27" t="str">
        <f>"51.0"</f>
        <v>51.0</v>
      </c>
      <c r="E27" t="str">
        <f>"19.3"</f>
        <v>19.3</v>
      </c>
      <c r="F27" t="str">
        <f>""</f>
        <v/>
      </c>
      <c r="G27" t="str">
        <f>""</f>
        <v/>
      </c>
      <c r="H27" t="str">
        <f>""</f>
        <v/>
      </c>
      <c r="I27" t="str">
        <f>""</f>
        <v/>
      </c>
      <c r="J27" t="str">
        <f>""</f>
        <v/>
      </c>
      <c r="K27" t="str">
        <f>""</f>
        <v/>
      </c>
      <c r="L27" t="str">
        <f>""</f>
        <v/>
      </c>
      <c r="M27" t="str">
        <f>""</f>
        <v/>
      </c>
      <c r="N27" t="str">
        <f>""</f>
        <v/>
      </c>
      <c r="O27" t="str">
        <f>""</f>
        <v/>
      </c>
      <c r="P27" t="str">
        <f>""</f>
        <v/>
      </c>
      <c r="Q27" t="str">
        <f>""</f>
        <v/>
      </c>
      <c r="R27" t="str">
        <f>""</f>
        <v/>
      </c>
      <c r="S27" t="str">
        <f>"120.9"</f>
        <v>120.9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1837F-16FD-477C-A458-5733FFA26893}">
  <dimension ref="A1:F95"/>
  <sheetViews>
    <sheetView workbookViewId="0">
      <selection activeCell="I22" sqref="I22"/>
    </sheetView>
  </sheetViews>
  <sheetFormatPr defaultRowHeight="15" x14ac:dyDescent="0.25"/>
  <cols>
    <col min="1" max="1" width="42.7109375" bestFit="1" customWidth="1"/>
    <col min="2" max="2" width="34.140625" bestFit="1" customWidth="1"/>
    <col min="3" max="3" width="20" bestFit="1" customWidth="1"/>
  </cols>
  <sheetData>
    <row r="1" spans="1:6" x14ac:dyDescent="0.25">
      <c r="A1" t="str">
        <f>"2025 USA Shooting Winter Air Gun - Camp Perry"</f>
        <v>2025 USA Shooting Winter Air Gun - Camp Perry</v>
      </c>
    </row>
    <row r="2" spans="1:6" x14ac:dyDescent="0.25">
      <c r="A2" t="str">
        <f>"Open Qualification - Men"</f>
        <v>Open Qualification - Men</v>
      </c>
    </row>
    <row r="3" spans="1:6" x14ac:dyDescent="0.25">
      <c r="A3" t="str">
        <f>""</f>
        <v/>
      </c>
    </row>
    <row r="4" spans="1:6" x14ac:dyDescent="0.25">
      <c r="A4" t="str">
        <f>"Place"</f>
        <v>Place</v>
      </c>
      <c r="B4" t="str">
        <f>"Competitor (Comp Num)"</f>
        <v>Competitor (Comp Num)</v>
      </c>
      <c r="C4" t="str">
        <f>"Hometown"</f>
        <v>Hometown</v>
      </c>
      <c r="D4" t="str">
        <f>"D1 60"</f>
        <v>D1 60</v>
      </c>
      <c r="E4" t="str">
        <f>"D2 60 Rifle"</f>
        <v>D2 60 Rifle</v>
      </c>
      <c r="F4" t="str">
        <f>"Aggregate"</f>
        <v>Aggregate</v>
      </c>
    </row>
    <row r="5" spans="1:6" x14ac:dyDescent="0.25">
      <c r="A5">
        <v>1</v>
      </c>
      <c r="B5" t="str">
        <f>"Fiori, Peter, SrA, USAF (167423)"</f>
        <v>Fiori, Peter, SrA, USAF (167423)</v>
      </c>
      <c r="C5" t="str">
        <f>"Lebanon, NJ"</f>
        <v>Lebanon, NJ</v>
      </c>
      <c r="D5" t="str">
        <f>"630.0"</f>
        <v>630.0</v>
      </c>
      <c r="E5" t="str">
        <f>"628.3"</f>
        <v>628.3</v>
      </c>
      <c r="F5" t="str">
        <f>"1,258.3"</f>
        <v>1,258.3</v>
      </c>
    </row>
    <row r="6" spans="1:6" x14ac:dyDescent="0.25">
      <c r="A6">
        <v>2</v>
      </c>
      <c r="B6" t="str">
        <f>"Sherry, Timothy, SSG, USA (72550)"</f>
        <v>Sherry, Timothy, SSG, USA (72550)</v>
      </c>
      <c r="C6" t="str">
        <f>"Columbus, GA"</f>
        <v>Columbus, GA</v>
      </c>
      <c r="D6" t="str">
        <f>"629.8"</f>
        <v>629.8</v>
      </c>
      <c r="E6" t="str">
        <f>"627.2"</f>
        <v>627.2</v>
      </c>
      <c r="F6" t="str">
        <f>"1,257.0"</f>
        <v>1,257.0</v>
      </c>
    </row>
    <row r="7" spans="1:6" x14ac:dyDescent="0.25">
      <c r="A7">
        <v>3</v>
      </c>
      <c r="B7" t="str">
        <f>"Lake, Griffin (277543)"</f>
        <v>Lake, Griffin (277543)</v>
      </c>
      <c r="C7" t="str">
        <f>"Emmaus, PA"</f>
        <v>Emmaus, PA</v>
      </c>
      <c r="D7" t="str">
        <f>"630.2"</f>
        <v>630.2</v>
      </c>
      <c r="E7" t="str">
        <f>"624.8"</f>
        <v>624.8</v>
      </c>
      <c r="F7" t="str">
        <f>"1,255.0"</f>
        <v>1,255.0</v>
      </c>
    </row>
    <row r="8" spans="1:6" x14ac:dyDescent="0.25">
      <c r="A8">
        <v>4</v>
      </c>
      <c r="B8" t="str">
        <f>"Muske, Brandon, SSG, USA (66790)"</f>
        <v>Muske, Brandon, SSG, USA (66790)</v>
      </c>
      <c r="C8" t="str">
        <f>"Midland, GA"</f>
        <v>Midland, GA</v>
      </c>
      <c r="D8" t="str">
        <f>"628.4"</f>
        <v>628.4</v>
      </c>
      <c r="E8" t="str">
        <f>"626.4"</f>
        <v>626.4</v>
      </c>
      <c r="F8" t="str">
        <f>"1,254.8"</f>
        <v>1,254.8</v>
      </c>
    </row>
    <row r="9" spans="1:6" x14ac:dyDescent="0.25">
      <c r="A9">
        <v>5</v>
      </c>
      <c r="B9" t="str">
        <f>"Barnick, Gavin (277417)"</f>
        <v>Barnick, Gavin (277417)</v>
      </c>
      <c r="C9" t="str">
        <f>"Appleton, WI"</f>
        <v>Appleton, WI</v>
      </c>
      <c r="D9" t="str">
        <f>"628.8"</f>
        <v>628.8</v>
      </c>
      <c r="E9" t="str">
        <f>"624.2"</f>
        <v>624.2</v>
      </c>
      <c r="F9" t="str">
        <f>"1,253.0"</f>
        <v>1,253.0</v>
      </c>
    </row>
    <row r="10" spans="1:6" x14ac:dyDescent="0.25">
      <c r="A10">
        <v>6</v>
      </c>
      <c r="B10" t="str">
        <f>"Wisman, Jacob (280941)"</f>
        <v>Wisman, Jacob (280941)</v>
      </c>
      <c r="C10" t="str">
        <f>"Independence, WV"</f>
        <v>Independence, WV</v>
      </c>
      <c r="D10" t="str">
        <f>"623.8"</f>
        <v>623.8</v>
      </c>
      <c r="E10" t="str">
        <f>"628.3"</f>
        <v>628.3</v>
      </c>
      <c r="F10" t="str">
        <f>"1,252.1"</f>
        <v>1,252.1</v>
      </c>
    </row>
    <row r="11" spans="1:6" x14ac:dyDescent="0.25">
      <c r="A11">
        <v>7</v>
      </c>
      <c r="B11" t="str">
        <f>"Peiser, Braden (280766)"</f>
        <v>Peiser, Braden (280766)</v>
      </c>
      <c r="C11" t="str">
        <f>"San Angelo, TX"</f>
        <v>San Angelo, TX</v>
      </c>
      <c r="D11" t="str">
        <f>"626.4"</f>
        <v>626.4</v>
      </c>
      <c r="E11" t="str">
        <f>"625.7"</f>
        <v>625.7</v>
      </c>
      <c r="F11" t="str">
        <f>"1,252.1"</f>
        <v>1,252.1</v>
      </c>
    </row>
    <row r="12" spans="1:6" x14ac:dyDescent="0.25">
      <c r="A12">
        <v>8</v>
      </c>
      <c r="B12" t="str">
        <f>"Soldavini, Gianluca (432555)"</f>
        <v>Soldavini, Gianluca (432555)</v>
      </c>
      <c r="C12" t="str">
        <f>"Sugar Hill, GA"</f>
        <v>Sugar Hill, GA</v>
      </c>
      <c r="D12" t="str">
        <f>"623.0"</f>
        <v>623.0</v>
      </c>
      <c r="E12" t="str">
        <f>"625.2"</f>
        <v>625.2</v>
      </c>
      <c r="F12" t="str">
        <f>"1,248.2"</f>
        <v>1,248.2</v>
      </c>
    </row>
    <row r="13" spans="1:6" x14ac:dyDescent="0.25">
      <c r="A13">
        <v>9</v>
      </c>
      <c r="B13" t="str">
        <f>"Eddy, Jared, SP4, USA (224371)"</f>
        <v>Eddy, Jared, SP4, USA (224371)</v>
      </c>
      <c r="C13" t="str">
        <f>"Midland, GA"</f>
        <v>Midland, GA</v>
      </c>
      <c r="D13" t="str">
        <f>"624.0"</f>
        <v>624.0</v>
      </c>
      <c r="E13" t="str">
        <f>"623.1"</f>
        <v>623.1</v>
      </c>
      <c r="F13" t="str">
        <f>"1,247.1"</f>
        <v>1,247.1</v>
      </c>
    </row>
    <row r="14" spans="1:6" x14ac:dyDescent="0.25">
      <c r="A14">
        <v>10</v>
      </c>
      <c r="B14" t="str">
        <f>"Roe, Ivan, SGT, USA (140994)"</f>
        <v>Roe, Ivan, SGT, USA (140994)</v>
      </c>
      <c r="C14" t="str">
        <f>"Phenix City, AL"</f>
        <v>Phenix City, AL</v>
      </c>
      <c r="D14" t="str">
        <f>"626.3"</f>
        <v>626.3</v>
      </c>
      <c r="E14" t="str">
        <f>"620.6"</f>
        <v>620.6</v>
      </c>
      <c r="F14" t="str">
        <f>"1,246.9"</f>
        <v>1,246.9</v>
      </c>
    </row>
    <row r="15" spans="1:6" x14ac:dyDescent="0.25">
      <c r="A15">
        <v>11</v>
      </c>
      <c r="B15" t="str">
        <f>"Clark, Levi, SGT, USA (239546)"</f>
        <v>Clark, Levi, SGT, USA (239546)</v>
      </c>
      <c r="C15" t="str">
        <f>"Columbus, GA"</f>
        <v>Columbus, GA</v>
      </c>
      <c r="D15" t="str">
        <f>"623.8"</f>
        <v>623.8</v>
      </c>
      <c r="E15" t="str">
        <f>"622.3"</f>
        <v>622.3</v>
      </c>
      <c r="F15" t="str">
        <f>"1,246.1"</f>
        <v>1,246.1</v>
      </c>
    </row>
    <row r="16" spans="1:6" x14ac:dyDescent="0.25">
      <c r="A16">
        <v>12</v>
      </c>
      <c r="B16" t="str">
        <f>"Kozeniesky, Lucas (122223)"</f>
        <v>Kozeniesky, Lucas (122223)</v>
      </c>
      <c r="C16" t="str">
        <f>"Colorado Springs, CO"</f>
        <v>Colorado Springs, CO</v>
      </c>
      <c r="D16" t="str">
        <f>"622.9"</f>
        <v>622.9</v>
      </c>
      <c r="E16" t="str">
        <f>"621.7"</f>
        <v>621.7</v>
      </c>
      <c r="F16" t="str">
        <f>"1,244.6"</f>
        <v>1,244.6</v>
      </c>
    </row>
    <row r="17" spans="1:6" x14ac:dyDescent="0.25">
      <c r="A17">
        <v>13</v>
      </c>
      <c r="B17" t="str">
        <f>"Ogoreuc, Jack (345230)"</f>
        <v>Ogoreuc, Jack (345230)</v>
      </c>
      <c r="C17" t="str">
        <f>"Grove City, PA"</f>
        <v>Grove City, PA</v>
      </c>
      <c r="D17" t="str">
        <f>"619.9"</f>
        <v>619.9</v>
      </c>
      <c r="E17" t="str">
        <f>"624.2"</f>
        <v>624.2</v>
      </c>
      <c r="F17" t="str">
        <f>"1,244.1"</f>
        <v>1,244.1</v>
      </c>
    </row>
    <row r="18" spans="1:6" x14ac:dyDescent="0.25">
      <c r="A18">
        <v>14</v>
      </c>
      <c r="B18" t="str">
        <f>"Voss, Martin (431663)"</f>
        <v>Voss, Martin (431663)</v>
      </c>
      <c r="C18" t="str">
        <f>"Lexington, KY"</f>
        <v>Lexington, KY</v>
      </c>
      <c r="D18" t="str">
        <f>"621.9"</f>
        <v>621.9</v>
      </c>
      <c r="E18" t="str">
        <f>"622.1"</f>
        <v>622.1</v>
      </c>
      <c r="F18" t="str">
        <f>"1,244.0"</f>
        <v>1,244.0</v>
      </c>
    </row>
    <row r="19" spans="1:6" x14ac:dyDescent="0.25">
      <c r="A19">
        <v>15</v>
      </c>
      <c r="B19" t="str">
        <f>"Kimball, Matthew  (446649)"</f>
        <v>Kimball, Matthew  (446649)</v>
      </c>
      <c r="C19" t="str">
        <f>"Pineville, LA"</f>
        <v>Pineville, LA</v>
      </c>
      <c r="D19" t="str">
        <f>"618.7"</f>
        <v>618.7</v>
      </c>
      <c r="E19" t="str">
        <f>"620.9"</f>
        <v>620.9</v>
      </c>
      <c r="F19" t="str">
        <f>"1,239.6"</f>
        <v>1,239.6</v>
      </c>
    </row>
    <row r="20" spans="1:6" x14ac:dyDescent="0.25">
      <c r="A20">
        <v>16</v>
      </c>
      <c r="B20" t="str">
        <f>"Jenkins, Hunter (434902)"</f>
        <v>Jenkins, Hunter (434902)</v>
      </c>
      <c r="C20" t="str">
        <f>"Washington, PA"</f>
        <v>Washington, PA</v>
      </c>
      <c r="D20" t="str">
        <f>"621.1"</f>
        <v>621.1</v>
      </c>
      <c r="E20" t="str">
        <f>"618.4"</f>
        <v>618.4</v>
      </c>
      <c r="F20" t="str">
        <f>"1,239.5"</f>
        <v>1,239.5</v>
      </c>
    </row>
    <row r="21" spans="1:6" x14ac:dyDescent="0.25">
      <c r="A21">
        <v>17</v>
      </c>
      <c r="B21" t="str">
        <f>"Abzug, Noah (399850)"</f>
        <v>Abzug, Noah (399850)</v>
      </c>
      <c r="C21" t="str">
        <f>"Monkton, MD"</f>
        <v>Monkton, MD</v>
      </c>
      <c r="D21" t="str">
        <f>"619.8"</f>
        <v>619.8</v>
      </c>
      <c r="E21" t="str">
        <f>"617.4"</f>
        <v>617.4</v>
      </c>
      <c r="F21" t="str">
        <f>"1,237.2"</f>
        <v>1,237.2</v>
      </c>
    </row>
    <row r="22" spans="1:6" x14ac:dyDescent="0.25">
      <c r="A22">
        <v>18</v>
      </c>
      <c r="B22" t="str">
        <f>"St. Hilaire, Jacob  (414624)"</f>
        <v>St. Hilaire, Jacob  (414624)</v>
      </c>
      <c r="C22" t="str">
        <f>"Needville, TX"</f>
        <v>Needville, TX</v>
      </c>
      <c r="D22" t="str">
        <f>"616.3"</f>
        <v>616.3</v>
      </c>
      <c r="E22" t="str">
        <f>"619.7"</f>
        <v>619.7</v>
      </c>
      <c r="F22" t="str">
        <f>"1,236.0"</f>
        <v>1,236.0</v>
      </c>
    </row>
    <row r="23" spans="1:6" x14ac:dyDescent="0.25">
      <c r="A23">
        <v>19</v>
      </c>
      <c r="B23" t="str">
        <f>"Roche, Benjamin (244383)"</f>
        <v>Roche, Benjamin (244383)</v>
      </c>
      <c r="C23" t="str">
        <f>"Damascus , MD"</f>
        <v>Damascus , MD</v>
      </c>
      <c r="D23" t="str">
        <f>"614.5"</f>
        <v>614.5</v>
      </c>
      <c r="E23" t="str">
        <f>"621.2"</f>
        <v>621.2</v>
      </c>
      <c r="F23" t="str">
        <f>"1,235.7"</f>
        <v>1,235.7</v>
      </c>
    </row>
    <row r="24" spans="1:6" x14ac:dyDescent="0.25">
      <c r="A24">
        <v>20</v>
      </c>
      <c r="B24" t="str">
        <f>"Gross, Antonio (156517)"</f>
        <v>Gross, Antonio (156517)</v>
      </c>
      <c r="C24" t="str">
        <f>"Ontario, NY"</f>
        <v>Ontario, NY</v>
      </c>
      <c r="D24" t="str">
        <f>"615.4"</f>
        <v>615.4</v>
      </c>
      <c r="E24" t="str">
        <f>"619.1"</f>
        <v>619.1</v>
      </c>
      <c r="F24" t="str">
        <f>"1,234.5"</f>
        <v>1,234.5</v>
      </c>
    </row>
    <row r="25" spans="1:6" x14ac:dyDescent="0.25">
      <c r="A25">
        <v>21</v>
      </c>
      <c r="B25" t="str">
        <f>"Anavkar, Yash (467177)"</f>
        <v>Anavkar, Yash (467177)</v>
      </c>
      <c r="C25" t="str">
        <f>"Edison, NJ"</f>
        <v>Edison, NJ</v>
      </c>
      <c r="D25" t="str">
        <f>"615.4"</f>
        <v>615.4</v>
      </c>
      <c r="E25" t="str">
        <f>"616.4"</f>
        <v>616.4</v>
      </c>
      <c r="F25" t="str">
        <f>"1,231.8"</f>
        <v>1,231.8</v>
      </c>
    </row>
    <row r="26" spans="1:6" x14ac:dyDescent="0.25">
      <c r="A26">
        <v>22</v>
      </c>
      <c r="B26" t="str">
        <f>"Smith, Everett (325340)"</f>
        <v>Smith, Everett (325340)</v>
      </c>
      <c r="C26" t="str">
        <f>"Keyser , WV"</f>
        <v>Keyser , WV</v>
      </c>
      <c r="D26" t="str">
        <f>"612.0"</f>
        <v>612.0</v>
      </c>
      <c r="E26" t="str">
        <f>"619.7"</f>
        <v>619.7</v>
      </c>
      <c r="F26" t="str">
        <f>"1,231.7"</f>
        <v>1,231.7</v>
      </c>
    </row>
    <row r="27" spans="1:6" x14ac:dyDescent="0.25">
      <c r="A27">
        <v>23</v>
      </c>
      <c r="B27" t="str">
        <f>"VanRyswyk, Nicholas (287265)"</f>
        <v>VanRyswyk, Nicholas (287265)</v>
      </c>
      <c r="C27" t="str">
        <f>"Traverse City, MI"</f>
        <v>Traverse City, MI</v>
      </c>
      <c r="D27" t="str">
        <f>"616.8"</f>
        <v>616.8</v>
      </c>
      <c r="E27" t="str">
        <f>"614.2"</f>
        <v>614.2</v>
      </c>
      <c r="F27" t="str">
        <f>"1,231.0"</f>
        <v>1,231.0</v>
      </c>
    </row>
    <row r="28" spans="1:6" x14ac:dyDescent="0.25">
      <c r="A28">
        <v>24</v>
      </c>
      <c r="B28" t="str">
        <f>"Meyer III, Charles (440640)"</f>
        <v>Meyer III, Charles (440640)</v>
      </c>
      <c r="C28" t="str">
        <f>"Long Valley, NJ"</f>
        <v>Long Valley, NJ</v>
      </c>
      <c r="D28" t="str">
        <f>"613.3"</f>
        <v>613.3</v>
      </c>
      <c r="E28" t="str">
        <f>"616.7"</f>
        <v>616.7</v>
      </c>
      <c r="F28" t="str">
        <f>"1,230.0"</f>
        <v>1,230.0</v>
      </c>
    </row>
    <row r="29" spans="1:6" x14ac:dyDescent="0.25">
      <c r="A29">
        <v>25</v>
      </c>
      <c r="B29" t="str">
        <f>"Cover, Chance (50286)"</f>
        <v>Cover, Chance (50286)</v>
      </c>
      <c r="C29" t="str">
        <f>"Columbia, MO"</f>
        <v>Columbia, MO</v>
      </c>
      <c r="D29" t="str">
        <f>"613.7"</f>
        <v>613.7</v>
      </c>
      <c r="E29" t="str">
        <f>"615.6"</f>
        <v>615.6</v>
      </c>
      <c r="F29" t="str">
        <f>"1,229.3"</f>
        <v>1,229.3</v>
      </c>
    </row>
    <row r="30" spans="1:6" x14ac:dyDescent="0.25">
      <c r="A30">
        <v>26</v>
      </c>
      <c r="B30" t="str">
        <f>"Hamilton, John (293255)"</f>
        <v>Hamilton, John (293255)</v>
      </c>
      <c r="C30" t="str">
        <f>"Corydon, IN"</f>
        <v>Corydon, IN</v>
      </c>
      <c r="D30" t="str">
        <f>"615.2"</f>
        <v>615.2</v>
      </c>
      <c r="E30" t="str">
        <f>"613.2"</f>
        <v>613.2</v>
      </c>
      <c r="F30" t="str">
        <f>"1,228.4"</f>
        <v>1,228.4</v>
      </c>
    </row>
    <row r="31" spans="1:6" x14ac:dyDescent="0.25">
      <c r="A31">
        <v>27</v>
      </c>
      <c r="B31" t="str">
        <f>"Pohlman, Alexander (382123)"</f>
        <v>Pohlman, Alexander (382123)</v>
      </c>
      <c r="C31" t="str">
        <f>"APO, AE"</f>
        <v>APO, AE</v>
      </c>
      <c r="D31" t="str">
        <f>"615.0"</f>
        <v>615.0</v>
      </c>
      <c r="E31" t="str">
        <f>"612.0"</f>
        <v>612.0</v>
      </c>
      <c r="F31" t="str">
        <f>"1,227.0"</f>
        <v>1,227.0</v>
      </c>
    </row>
    <row r="32" spans="1:6" x14ac:dyDescent="0.25">
      <c r="A32">
        <v>28</v>
      </c>
      <c r="B32" t="str">
        <f>"Kauffman, Nathaniel (399779)"</f>
        <v>Kauffman, Nathaniel (399779)</v>
      </c>
      <c r="C32" t="str">
        <f>"York, PA"</f>
        <v>York, PA</v>
      </c>
      <c r="D32" t="str">
        <f>"611.7"</f>
        <v>611.7</v>
      </c>
      <c r="E32" t="str">
        <f>"614.0"</f>
        <v>614.0</v>
      </c>
      <c r="F32" t="str">
        <f>"1,225.7"</f>
        <v>1,225.7</v>
      </c>
    </row>
    <row r="33" spans="1:6" x14ac:dyDescent="0.25">
      <c r="A33">
        <v>29</v>
      </c>
      <c r="B33" t="str">
        <f>"Santiso, Kaleb (289148)"</f>
        <v>Santiso, Kaleb (289148)</v>
      </c>
      <c r="C33" t="str">
        <f>"Ridgway, PA"</f>
        <v>Ridgway, PA</v>
      </c>
      <c r="D33" t="str">
        <f>"612.1"</f>
        <v>612.1</v>
      </c>
      <c r="E33" t="str">
        <f>"613.0"</f>
        <v>613.0</v>
      </c>
      <c r="F33" t="str">
        <f>"1,225.1"</f>
        <v>1,225.1</v>
      </c>
    </row>
    <row r="34" spans="1:6" x14ac:dyDescent="0.25">
      <c r="A34">
        <v>30</v>
      </c>
      <c r="B34" t="str">
        <f>"Stauch, Owen (414337)"</f>
        <v>Stauch, Owen (414337)</v>
      </c>
      <c r="C34" t="str">
        <f>"Waterford , OH"</f>
        <v>Waterford , OH</v>
      </c>
      <c r="D34" t="str">
        <f>"611.7"</f>
        <v>611.7</v>
      </c>
      <c r="E34" t="str">
        <f>"613.0"</f>
        <v>613.0</v>
      </c>
      <c r="F34" t="str">
        <f>"1,224.7"</f>
        <v>1,224.7</v>
      </c>
    </row>
    <row r="35" spans="1:6" x14ac:dyDescent="0.25">
      <c r="A35">
        <v>31</v>
      </c>
      <c r="B35" t="str">
        <f>"Bull, Nicholas (377179)"</f>
        <v>Bull, Nicholas (377179)</v>
      </c>
      <c r="C35" t="str">
        <f>"Fenton, MO"</f>
        <v>Fenton, MO</v>
      </c>
      <c r="D35" t="str">
        <f>"613.7"</f>
        <v>613.7</v>
      </c>
      <c r="E35" t="str">
        <f>"610.8"</f>
        <v>610.8</v>
      </c>
      <c r="F35" t="str">
        <f>"1,224.5"</f>
        <v>1,224.5</v>
      </c>
    </row>
    <row r="36" spans="1:6" x14ac:dyDescent="0.25">
      <c r="A36">
        <v>32</v>
      </c>
      <c r="B36" t="str">
        <f>"Hotko, Anthony (332337)"</f>
        <v>Hotko, Anthony (332337)</v>
      </c>
      <c r="C36" t="str">
        <f>"Batavia, IL"</f>
        <v>Batavia, IL</v>
      </c>
      <c r="D36" t="str">
        <f>"608.5"</f>
        <v>608.5</v>
      </c>
      <c r="E36" t="str">
        <f>"615.7"</f>
        <v>615.7</v>
      </c>
      <c r="F36" t="str">
        <f>"1,224.2"</f>
        <v>1,224.2</v>
      </c>
    </row>
    <row r="37" spans="1:6" x14ac:dyDescent="0.25">
      <c r="A37">
        <v>33</v>
      </c>
      <c r="B37" t="str">
        <f>"Hahn, Joseph (75084)"</f>
        <v>Hahn, Joseph (75084)</v>
      </c>
      <c r="C37" t="str">
        <f>"Middle Grove, NY"</f>
        <v>Middle Grove, NY</v>
      </c>
      <c r="D37" t="str">
        <f>"609.8"</f>
        <v>609.8</v>
      </c>
      <c r="E37" t="str">
        <f>"614.0"</f>
        <v>614.0</v>
      </c>
      <c r="F37" t="str">
        <f>"1,223.8"</f>
        <v>1,223.8</v>
      </c>
    </row>
    <row r="38" spans="1:6" x14ac:dyDescent="0.25">
      <c r="A38">
        <v>34</v>
      </c>
      <c r="B38" t="str">
        <f>"Steinel, Michael (149178)"</f>
        <v>Steinel, Michael (149178)</v>
      </c>
      <c r="C38" t="str">
        <f>"Lowell, OH"</f>
        <v>Lowell, OH</v>
      </c>
      <c r="D38" t="str">
        <f>"610.4"</f>
        <v>610.4</v>
      </c>
      <c r="E38" t="str">
        <f>"611.2"</f>
        <v>611.2</v>
      </c>
      <c r="F38" t="str">
        <f>"1,221.6"</f>
        <v>1,221.6</v>
      </c>
    </row>
    <row r="39" spans="1:6" x14ac:dyDescent="0.25">
      <c r="A39">
        <v>35</v>
      </c>
      <c r="B39" t="str">
        <f>"Labine, Kai (395852)"</f>
        <v>Labine, Kai (395852)</v>
      </c>
      <c r="C39" t="str">
        <f>"Williamsburg, VA"</f>
        <v>Williamsburg, VA</v>
      </c>
      <c r="D39" t="str">
        <f>"608.8"</f>
        <v>608.8</v>
      </c>
      <c r="E39" t="str">
        <f>"612.6"</f>
        <v>612.6</v>
      </c>
      <c r="F39" t="str">
        <f>"1,221.4"</f>
        <v>1,221.4</v>
      </c>
    </row>
    <row r="40" spans="1:6" x14ac:dyDescent="0.25">
      <c r="A40">
        <v>36</v>
      </c>
      <c r="B40" t="str">
        <f>"Kemp, Kyle (388047)"</f>
        <v>Kemp, Kyle (388047)</v>
      </c>
      <c r="C40" t="str">
        <f>"Louisville, KY"</f>
        <v>Louisville, KY</v>
      </c>
      <c r="D40" t="str">
        <f>"614.0"</f>
        <v>614.0</v>
      </c>
      <c r="E40" t="str">
        <f>"607.4"</f>
        <v>607.4</v>
      </c>
      <c r="F40" t="str">
        <f>"1,221.4"</f>
        <v>1,221.4</v>
      </c>
    </row>
    <row r="41" spans="1:6" x14ac:dyDescent="0.25">
      <c r="A41">
        <v>37</v>
      </c>
      <c r="B41" t="str">
        <f>"Duross, Andrew (254474)"</f>
        <v>Duross, Andrew (254474)</v>
      </c>
      <c r="C41" t="str">
        <f>"Marlborough, MA"</f>
        <v>Marlborough, MA</v>
      </c>
      <c r="D41" t="str">
        <f>"606.6"</f>
        <v>606.6</v>
      </c>
      <c r="E41" t="str">
        <f>"612.4"</f>
        <v>612.4</v>
      </c>
      <c r="F41" t="str">
        <f>"1,219.0"</f>
        <v>1,219.0</v>
      </c>
    </row>
    <row r="42" spans="1:6" x14ac:dyDescent="0.25">
      <c r="A42">
        <v>38</v>
      </c>
      <c r="B42" t="str">
        <f>"Conklin, Liam (421387)"</f>
        <v>Conklin, Liam (421387)</v>
      </c>
      <c r="C42" t="str">
        <f>"Annapolis, MD"</f>
        <v>Annapolis, MD</v>
      </c>
      <c r="D42" t="str">
        <f>"610.3"</f>
        <v>610.3</v>
      </c>
      <c r="E42" t="str">
        <f>"608.6"</f>
        <v>608.6</v>
      </c>
      <c r="F42" t="str">
        <f>"1,218.9"</f>
        <v>1,218.9</v>
      </c>
    </row>
    <row r="43" spans="1:6" x14ac:dyDescent="0.25">
      <c r="A43">
        <v>39</v>
      </c>
      <c r="B43" t="str">
        <f>"Abzug, Zachary (476672)"</f>
        <v>Abzug, Zachary (476672)</v>
      </c>
      <c r="C43" t="str">
        <f>"Mockton, MD"</f>
        <v>Mockton, MD</v>
      </c>
      <c r="D43" t="str">
        <f>"604.5"</f>
        <v>604.5</v>
      </c>
      <c r="E43" t="str">
        <f>"610.2"</f>
        <v>610.2</v>
      </c>
      <c r="F43" t="str">
        <f>"1,214.7"</f>
        <v>1,214.7</v>
      </c>
    </row>
    <row r="44" spans="1:6" x14ac:dyDescent="0.25">
      <c r="A44">
        <v>40</v>
      </c>
      <c r="B44" t="str">
        <f>"Stanley, Blake (468343)"</f>
        <v>Stanley, Blake (468343)</v>
      </c>
      <c r="C44" t="str">
        <f>"Washington, PA"</f>
        <v>Washington, PA</v>
      </c>
      <c r="D44" t="str">
        <f>"606.4"</f>
        <v>606.4</v>
      </c>
      <c r="E44" t="str">
        <f>"608.2"</f>
        <v>608.2</v>
      </c>
      <c r="F44" t="str">
        <f>"1,214.6"</f>
        <v>1,214.6</v>
      </c>
    </row>
    <row r="45" spans="1:6" x14ac:dyDescent="0.25">
      <c r="A45">
        <v>41</v>
      </c>
      <c r="B45" t="str">
        <f>"Chaudhary, Sumit (513135)"</f>
        <v>Chaudhary, Sumit (513135)</v>
      </c>
      <c r="C45" t="str">
        <f>"unknown, FL"</f>
        <v>unknown, FL</v>
      </c>
      <c r="D45" t="str">
        <f>"608.6"</f>
        <v>608.6</v>
      </c>
      <c r="E45" t="str">
        <f>"606.0"</f>
        <v>606.0</v>
      </c>
      <c r="F45" t="str">
        <f>"1,214.6"</f>
        <v>1,214.6</v>
      </c>
    </row>
    <row r="46" spans="1:6" x14ac:dyDescent="0.25">
      <c r="A46">
        <v>42</v>
      </c>
      <c r="B46" t="str">
        <f>"Stevens, James (291413)"</f>
        <v>Stevens, James (291413)</v>
      </c>
      <c r="C46" t="str">
        <f>"Owings Mills, MD"</f>
        <v>Owings Mills, MD</v>
      </c>
      <c r="D46" t="str">
        <f>"608.3"</f>
        <v>608.3</v>
      </c>
      <c r="E46" t="str">
        <f>"605.2"</f>
        <v>605.2</v>
      </c>
      <c r="F46" t="str">
        <f>"1,213.5"</f>
        <v>1,213.5</v>
      </c>
    </row>
    <row r="47" spans="1:6" x14ac:dyDescent="0.25">
      <c r="A47">
        <v>43</v>
      </c>
      <c r="B47" t="str">
        <f>"Lyons, Ian (400645)"</f>
        <v>Lyons, Ian (400645)</v>
      </c>
      <c r="C47" t="str">
        <f>"Strasburg, PA"</f>
        <v>Strasburg, PA</v>
      </c>
      <c r="D47" t="str">
        <f>"605.0"</f>
        <v>605.0</v>
      </c>
      <c r="E47" t="str">
        <f>"608.1"</f>
        <v>608.1</v>
      </c>
      <c r="F47" t="str">
        <f>"1,213.1"</f>
        <v>1,213.1</v>
      </c>
    </row>
    <row r="48" spans="1:6" x14ac:dyDescent="0.25">
      <c r="A48">
        <v>44</v>
      </c>
      <c r="B48" t="str">
        <f>"Bushong, Jack (447357)"</f>
        <v>Bushong, Jack (447357)</v>
      </c>
      <c r="C48" t="str">
        <f>"Laotto, IN"</f>
        <v>Laotto, IN</v>
      </c>
      <c r="D48" t="str">
        <f>"604.2"</f>
        <v>604.2</v>
      </c>
      <c r="E48" t="str">
        <f>"608.0"</f>
        <v>608.0</v>
      </c>
      <c r="F48" t="str">
        <f>"1,212.2"</f>
        <v>1,212.2</v>
      </c>
    </row>
    <row r="49" spans="1:6" x14ac:dyDescent="0.25">
      <c r="A49">
        <v>45</v>
      </c>
      <c r="B49" t="str">
        <f>"Williams, Evan (346587)"</f>
        <v>Williams, Evan (346587)</v>
      </c>
      <c r="C49" t="str">
        <f>"Newport News, VA"</f>
        <v>Newport News, VA</v>
      </c>
      <c r="D49" t="str">
        <f>"603.4"</f>
        <v>603.4</v>
      </c>
      <c r="E49" t="str">
        <f>"608.3"</f>
        <v>608.3</v>
      </c>
      <c r="F49" t="str">
        <f>"1,211.7"</f>
        <v>1,211.7</v>
      </c>
    </row>
    <row r="50" spans="1:6" x14ac:dyDescent="0.25">
      <c r="A50">
        <v>46</v>
      </c>
      <c r="B50" t="str">
        <f>"Malave, Ben (399775)"</f>
        <v>Malave, Ben (399775)</v>
      </c>
      <c r="C50" t="str">
        <f>"York, PA"</f>
        <v>York, PA</v>
      </c>
      <c r="D50" t="str">
        <f>"598.2"</f>
        <v>598.2</v>
      </c>
      <c r="E50" t="str">
        <f>"613.0"</f>
        <v>613.0</v>
      </c>
      <c r="F50" t="str">
        <f>"1,211.2"</f>
        <v>1,211.2</v>
      </c>
    </row>
    <row r="51" spans="1:6" x14ac:dyDescent="0.25">
      <c r="A51">
        <v>47</v>
      </c>
      <c r="B51" t="str">
        <f>"Harvey, Mason  (452710)"</f>
        <v>Harvey, Mason  (452710)</v>
      </c>
      <c r="C51" t="str">
        <f>"Dayton, MD"</f>
        <v>Dayton, MD</v>
      </c>
      <c r="D51" t="str">
        <f>"602.3"</f>
        <v>602.3</v>
      </c>
      <c r="E51" t="str">
        <f>"608.5"</f>
        <v>608.5</v>
      </c>
      <c r="F51" t="str">
        <f>"1,210.8"</f>
        <v>1,210.8</v>
      </c>
    </row>
    <row r="52" spans="1:6" x14ac:dyDescent="0.25">
      <c r="A52">
        <v>48</v>
      </c>
      <c r="B52" t="str">
        <f>"Shipley, James (320956)"</f>
        <v>Shipley, James (320956)</v>
      </c>
      <c r="C52" t="str">
        <f>"Williamstown, WV"</f>
        <v>Williamstown, WV</v>
      </c>
      <c r="D52" t="str">
        <f>"609.5"</f>
        <v>609.5</v>
      </c>
      <c r="E52" t="str">
        <f>"601.0"</f>
        <v>601.0</v>
      </c>
      <c r="F52" t="str">
        <f>"1,210.5"</f>
        <v>1,210.5</v>
      </c>
    </row>
    <row r="53" spans="1:6" x14ac:dyDescent="0.25">
      <c r="A53">
        <v>49</v>
      </c>
      <c r="B53" t="str">
        <f>"Shim, Remy (472612)"</f>
        <v>Shim, Remy (472612)</v>
      </c>
      <c r="C53" t="str">
        <f>"Suwanee, GA"</f>
        <v>Suwanee, GA</v>
      </c>
      <c r="D53" t="str">
        <f>"603.3"</f>
        <v>603.3</v>
      </c>
      <c r="E53" t="str">
        <f>"603.9"</f>
        <v>603.9</v>
      </c>
      <c r="F53" t="str">
        <f>"1,207.2"</f>
        <v>1,207.2</v>
      </c>
    </row>
    <row r="54" spans="1:6" x14ac:dyDescent="0.25">
      <c r="A54">
        <v>50</v>
      </c>
      <c r="B54" t="str">
        <f>"Mauriello, Zachary (361139)"</f>
        <v>Mauriello, Zachary (361139)</v>
      </c>
      <c r="C54" t="str">
        <f>"Woodstock, GA"</f>
        <v>Woodstock, GA</v>
      </c>
      <c r="D54" t="str">
        <f>"602.1"</f>
        <v>602.1</v>
      </c>
      <c r="E54" t="str">
        <f>"603.4"</f>
        <v>603.4</v>
      </c>
      <c r="F54" t="str">
        <f>"1,205.5"</f>
        <v>1,205.5</v>
      </c>
    </row>
    <row r="55" spans="1:6" x14ac:dyDescent="0.25">
      <c r="A55">
        <v>51</v>
      </c>
      <c r="B55" t="str">
        <f>"Jungling, Jackson (432950)"</f>
        <v>Jungling, Jackson (432950)</v>
      </c>
      <c r="C55" t="str">
        <f>"Butler, PA"</f>
        <v>Butler, PA</v>
      </c>
      <c r="D55" t="str">
        <f>"603.3"</f>
        <v>603.3</v>
      </c>
      <c r="E55" t="str">
        <f>"601.4"</f>
        <v>601.4</v>
      </c>
      <c r="F55" t="str">
        <f>"1,204.7"</f>
        <v>1,204.7</v>
      </c>
    </row>
    <row r="56" spans="1:6" x14ac:dyDescent="0.25">
      <c r="A56">
        <v>52</v>
      </c>
      <c r="B56" t="str">
        <f>"Purvis, Zachary (434490)"</f>
        <v>Purvis, Zachary (434490)</v>
      </c>
      <c r="C56" t="str">
        <f>"Waco, GA"</f>
        <v>Waco, GA</v>
      </c>
      <c r="D56" t="str">
        <f>"602.8"</f>
        <v>602.8</v>
      </c>
      <c r="E56" t="str">
        <f>"598.9"</f>
        <v>598.9</v>
      </c>
      <c r="F56" t="str">
        <f>"1,201.7"</f>
        <v>1,201.7</v>
      </c>
    </row>
    <row r="57" spans="1:6" x14ac:dyDescent="0.25">
      <c r="A57">
        <v>53</v>
      </c>
      <c r="B57" t="str">
        <f>"Russell, Jonathan (406708)"</f>
        <v>Russell, Jonathan (406708)</v>
      </c>
      <c r="C57" t="str">
        <f>"Emlenton, PA"</f>
        <v>Emlenton, PA</v>
      </c>
      <c r="D57" t="str">
        <f>"601.1"</f>
        <v>601.1</v>
      </c>
      <c r="E57" t="str">
        <f>"599.5"</f>
        <v>599.5</v>
      </c>
      <c r="F57" t="str">
        <f>"1,200.6"</f>
        <v>1,200.6</v>
      </c>
    </row>
    <row r="58" spans="1:6" x14ac:dyDescent="0.25">
      <c r="A58">
        <v>54</v>
      </c>
      <c r="B58" t="str">
        <f>"Lee, Kenji (512662)"</f>
        <v>Lee, Kenji (512662)</v>
      </c>
      <c r="C58" t="str">
        <f>"Monterey Park, CA"</f>
        <v>Monterey Park, CA</v>
      </c>
      <c r="D58" t="str">
        <f>"595.1"</f>
        <v>595.1</v>
      </c>
      <c r="E58" t="str">
        <f>"604.6"</f>
        <v>604.6</v>
      </c>
      <c r="F58" t="str">
        <f>"1,199.7"</f>
        <v>1,199.7</v>
      </c>
    </row>
    <row r="59" spans="1:6" x14ac:dyDescent="0.25">
      <c r="A59">
        <v>55</v>
      </c>
      <c r="B59" t="str">
        <f>"Miller, Landon (410634)"</f>
        <v>Miller, Landon (410634)</v>
      </c>
      <c r="C59" t="str">
        <f>"Fremont, OH"</f>
        <v>Fremont, OH</v>
      </c>
      <c r="D59" t="str">
        <f>"598.2"</f>
        <v>598.2</v>
      </c>
      <c r="E59" t="str">
        <f>"599.9"</f>
        <v>599.9</v>
      </c>
      <c r="F59" t="str">
        <f>"1,198.1"</f>
        <v>1,198.1</v>
      </c>
    </row>
    <row r="60" spans="1:6" x14ac:dyDescent="0.25">
      <c r="A60">
        <v>56</v>
      </c>
      <c r="B60" t="str">
        <f>"Ashburn , Bronson  (467388)"</f>
        <v>Ashburn , Bronson  (467388)</v>
      </c>
      <c r="C60" t="str">
        <f>"Oakdale, CT"</f>
        <v>Oakdale, CT</v>
      </c>
      <c r="D60" t="str">
        <f>"592.5"</f>
        <v>592.5</v>
      </c>
      <c r="E60" t="str">
        <f>"604.4"</f>
        <v>604.4</v>
      </c>
      <c r="F60" t="str">
        <f>"1,196.9"</f>
        <v>1,196.9</v>
      </c>
    </row>
    <row r="61" spans="1:6" x14ac:dyDescent="0.25">
      <c r="A61">
        <v>57</v>
      </c>
      <c r="B61" t="str">
        <f>"Soule, Kellen (442163)"</f>
        <v>Soule, Kellen (442163)</v>
      </c>
      <c r="C61" t="str">
        <f>"Itasca, TX"</f>
        <v>Itasca, TX</v>
      </c>
      <c r="D61" t="str">
        <f>"593.8"</f>
        <v>593.8</v>
      </c>
      <c r="E61" t="str">
        <f>"598.8"</f>
        <v>598.8</v>
      </c>
      <c r="F61" t="str">
        <f>"1,192.6"</f>
        <v>1,192.6</v>
      </c>
    </row>
    <row r="62" spans="1:6" x14ac:dyDescent="0.25">
      <c r="A62">
        <v>58</v>
      </c>
      <c r="B62" t="str">
        <f>"Druley, Nikodemus (397227)"</f>
        <v>Druley, Nikodemus (397227)</v>
      </c>
      <c r="C62" t="str">
        <f>"Fort Wayne, IN"</f>
        <v>Fort Wayne, IN</v>
      </c>
      <c r="D62" t="str">
        <f>"592.8"</f>
        <v>592.8</v>
      </c>
      <c r="E62" t="str">
        <f>"597.8"</f>
        <v>597.8</v>
      </c>
      <c r="F62" t="str">
        <f>"1,190.6"</f>
        <v>1,190.6</v>
      </c>
    </row>
    <row r="63" spans="1:6" x14ac:dyDescent="0.25">
      <c r="A63">
        <v>59</v>
      </c>
      <c r="B63" t="str">
        <f>"Arestani, Neil (493894)"</f>
        <v>Arestani, Neil (493894)</v>
      </c>
      <c r="C63" t="str">
        <f>"Edison, NJ"</f>
        <v>Edison, NJ</v>
      </c>
      <c r="D63" t="str">
        <f>"588.8"</f>
        <v>588.8</v>
      </c>
      <c r="E63" t="str">
        <f>"600.2"</f>
        <v>600.2</v>
      </c>
      <c r="F63" t="str">
        <f>"1,189.0"</f>
        <v>1,189.0</v>
      </c>
    </row>
    <row r="64" spans="1:6" x14ac:dyDescent="0.25">
      <c r="A64">
        <v>60</v>
      </c>
      <c r="B64" t="str">
        <f>"Brown, Wade (445145)"</f>
        <v>Brown, Wade (445145)</v>
      </c>
      <c r="C64" t="str">
        <f>"Hampton, VA"</f>
        <v>Hampton, VA</v>
      </c>
      <c r="D64" t="str">
        <f>"595.1"</f>
        <v>595.1</v>
      </c>
      <c r="E64" t="str">
        <f>"593.6"</f>
        <v>593.6</v>
      </c>
      <c r="F64" t="str">
        <f>"1,188.7"</f>
        <v>1,188.7</v>
      </c>
    </row>
    <row r="65" spans="1:6" x14ac:dyDescent="0.25">
      <c r="A65">
        <v>61</v>
      </c>
      <c r="B65" t="str">
        <f>"Borthwick, Paul (162283)"</f>
        <v>Borthwick, Paul (162283)</v>
      </c>
      <c r="C65" t="str">
        <f>"Glenelg, MD"</f>
        <v>Glenelg, MD</v>
      </c>
      <c r="D65" t="str">
        <f>"593.9"</f>
        <v>593.9</v>
      </c>
      <c r="E65" t="str">
        <f>"594.2"</f>
        <v>594.2</v>
      </c>
      <c r="F65" t="str">
        <f>"1,188.1"</f>
        <v>1,188.1</v>
      </c>
    </row>
    <row r="66" spans="1:6" x14ac:dyDescent="0.25">
      <c r="A66">
        <v>62</v>
      </c>
      <c r="B66" t="str">
        <f>"Kisner, Levi  (437032)"</f>
        <v>Kisner, Levi  (437032)</v>
      </c>
      <c r="C66" t="str">
        <f>"Kingwood, WV"</f>
        <v>Kingwood, WV</v>
      </c>
      <c r="D66" t="str">
        <f>"593.5"</f>
        <v>593.5</v>
      </c>
      <c r="E66" t="str">
        <f>"591.9"</f>
        <v>591.9</v>
      </c>
      <c r="F66" t="str">
        <f>"1,185.4"</f>
        <v>1,185.4</v>
      </c>
    </row>
    <row r="67" spans="1:6" x14ac:dyDescent="0.25">
      <c r="A67">
        <v>63</v>
      </c>
      <c r="B67" t="str">
        <f>"Ellis, Xavier  (382970)"</f>
        <v>Ellis, Xavier  (382970)</v>
      </c>
      <c r="C67" t="str">
        <f>"Queen creek, AZ"</f>
        <v>Queen creek, AZ</v>
      </c>
      <c r="D67" t="str">
        <f>"590.5"</f>
        <v>590.5</v>
      </c>
      <c r="E67" t="str">
        <f>"594.6"</f>
        <v>594.6</v>
      </c>
      <c r="F67" t="str">
        <f>"1,185.1"</f>
        <v>1,185.1</v>
      </c>
    </row>
    <row r="68" spans="1:6" x14ac:dyDescent="0.25">
      <c r="A68">
        <v>64</v>
      </c>
      <c r="B68" t="str">
        <f>"Vawter, Micah (314203)"</f>
        <v>Vawter, Micah (314203)</v>
      </c>
      <c r="C68" t="str">
        <f>"Hillsdale, MI"</f>
        <v>Hillsdale, MI</v>
      </c>
      <c r="D68" t="str">
        <f>"594.5"</f>
        <v>594.5</v>
      </c>
      <c r="E68" t="str">
        <f>"589.7"</f>
        <v>589.7</v>
      </c>
      <c r="F68" t="str">
        <f>"1,184.2"</f>
        <v>1,184.2</v>
      </c>
    </row>
    <row r="69" spans="1:6" x14ac:dyDescent="0.25">
      <c r="A69">
        <v>65</v>
      </c>
      <c r="B69" t="str">
        <f>"Hooper, Mason (228221)"</f>
        <v>Hooper, Mason (228221)</v>
      </c>
      <c r="C69" t="str">
        <f>"Tionesta, PA"</f>
        <v>Tionesta, PA</v>
      </c>
      <c r="D69" t="str">
        <f>"588.9"</f>
        <v>588.9</v>
      </c>
      <c r="E69" t="str">
        <f>"593.4"</f>
        <v>593.4</v>
      </c>
      <c r="F69" t="str">
        <f>"1,182.3"</f>
        <v>1,182.3</v>
      </c>
    </row>
    <row r="70" spans="1:6" x14ac:dyDescent="0.25">
      <c r="A70">
        <v>66</v>
      </c>
      <c r="B70" t="str">
        <f>"Casini, Giacomo (479944)"</f>
        <v>Casini, Giacomo (479944)</v>
      </c>
      <c r="C70" t="str">
        <f>"Fort Wayne, IN"</f>
        <v>Fort Wayne, IN</v>
      </c>
      <c r="D70" t="str">
        <f>"590.6"</f>
        <v>590.6</v>
      </c>
      <c r="E70" t="str">
        <f>"588.5"</f>
        <v>588.5</v>
      </c>
      <c r="F70" t="str">
        <f>"1,179.1"</f>
        <v>1,179.1</v>
      </c>
    </row>
    <row r="71" spans="1:6" x14ac:dyDescent="0.25">
      <c r="A71">
        <v>67</v>
      </c>
      <c r="B71" t="str">
        <f>"Meesiri, Kai (483196)"</f>
        <v>Meesiri, Kai (483196)</v>
      </c>
      <c r="C71" t="str">
        <f>"Annapolis, MD"</f>
        <v>Annapolis, MD</v>
      </c>
      <c r="D71" t="str">
        <f>"593.1"</f>
        <v>593.1</v>
      </c>
      <c r="E71" t="str">
        <f>"583.9"</f>
        <v>583.9</v>
      </c>
      <c r="F71" t="str">
        <f>"1,177.0"</f>
        <v>1,177.0</v>
      </c>
    </row>
    <row r="72" spans="1:6" x14ac:dyDescent="0.25">
      <c r="A72">
        <v>68</v>
      </c>
      <c r="B72" t="str">
        <f>"Schweitzer , Aiden  (419350)"</f>
        <v>Schweitzer , Aiden  (419350)</v>
      </c>
      <c r="C72" t="str">
        <f>"Fort Wayne, IN"</f>
        <v>Fort Wayne, IN</v>
      </c>
      <c r="D72" t="str">
        <f>"585.1"</f>
        <v>585.1</v>
      </c>
      <c r="E72" t="str">
        <f>"591.2"</f>
        <v>591.2</v>
      </c>
      <c r="F72" t="str">
        <f>"1,176.3"</f>
        <v>1,176.3</v>
      </c>
    </row>
    <row r="73" spans="1:6" x14ac:dyDescent="0.25">
      <c r="A73">
        <v>69</v>
      </c>
      <c r="B73" t="str">
        <f>"Liu, Steven (431829)"</f>
        <v>Liu, Steven (431829)</v>
      </c>
      <c r="C73" t="str">
        <f>"Markham, ON"</f>
        <v>Markham, ON</v>
      </c>
      <c r="D73" t="str">
        <f>"586.5"</f>
        <v>586.5</v>
      </c>
      <c r="E73" t="str">
        <f>"589.2"</f>
        <v>589.2</v>
      </c>
      <c r="F73" t="str">
        <f>"1,175.7"</f>
        <v>1,175.7</v>
      </c>
    </row>
    <row r="74" spans="1:6" x14ac:dyDescent="0.25">
      <c r="A74">
        <v>70</v>
      </c>
      <c r="B74" t="str">
        <f>"Luk, Ethan (431823)"</f>
        <v>Luk, Ethan (431823)</v>
      </c>
      <c r="C74" t="str">
        <f>"Maple, ON"</f>
        <v>Maple, ON</v>
      </c>
      <c r="D74" t="str">
        <f>"573.9"</f>
        <v>573.9</v>
      </c>
      <c r="E74" t="str">
        <f>"601.1"</f>
        <v>601.1</v>
      </c>
      <c r="F74" t="str">
        <f>"1,175.0"</f>
        <v>1,175.0</v>
      </c>
    </row>
    <row r="75" spans="1:6" x14ac:dyDescent="0.25">
      <c r="A75">
        <v>71</v>
      </c>
      <c r="B75" t="str">
        <f>"Solis, Haiden (449116)"</f>
        <v>Solis, Haiden (449116)</v>
      </c>
      <c r="C75" t="str">
        <f>"Saratoga Springs, NY"</f>
        <v>Saratoga Springs, NY</v>
      </c>
      <c r="D75" t="str">
        <f>"589.5"</f>
        <v>589.5</v>
      </c>
      <c r="E75" t="str">
        <f>"584.7"</f>
        <v>584.7</v>
      </c>
      <c r="F75" t="str">
        <f>"1,174.2"</f>
        <v>1,174.2</v>
      </c>
    </row>
    <row r="76" spans="1:6" x14ac:dyDescent="0.25">
      <c r="A76">
        <v>72</v>
      </c>
      <c r="B76" t="str">
        <f>"Phongwarinr, Nuntaaphong (505687)"</f>
        <v>Phongwarinr, Nuntaaphong (505687)</v>
      </c>
      <c r="C76" t="str">
        <f>"silver spring, MD"</f>
        <v>silver spring, MD</v>
      </c>
      <c r="D76" t="str">
        <f>"587.8"</f>
        <v>587.8</v>
      </c>
      <c r="E76" t="str">
        <f>"585.3"</f>
        <v>585.3</v>
      </c>
      <c r="F76" t="str">
        <f>"1,173.1"</f>
        <v>1,173.1</v>
      </c>
    </row>
    <row r="77" spans="1:6" x14ac:dyDescent="0.25">
      <c r="A77">
        <v>73</v>
      </c>
      <c r="B77" t="str">
        <f>"Miller, Grant (403761)"</f>
        <v>Miller, Grant (403761)</v>
      </c>
      <c r="C77" t="str">
        <f>"Arnold, MD"</f>
        <v>Arnold, MD</v>
      </c>
      <c r="D77" t="str">
        <f>"589.8"</f>
        <v>589.8</v>
      </c>
      <c r="E77" t="str">
        <f>"582.5"</f>
        <v>582.5</v>
      </c>
      <c r="F77" t="str">
        <f>"1,172.3"</f>
        <v>1,172.3</v>
      </c>
    </row>
    <row r="78" spans="1:6" x14ac:dyDescent="0.25">
      <c r="A78">
        <v>74</v>
      </c>
      <c r="B78" t="str">
        <f>"Guest, Destin (438475)"</f>
        <v>Guest, Destin (438475)</v>
      </c>
      <c r="C78" t="str">
        <f>"Tallahassee, FL"</f>
        <v>Tallahassee, FL</v>
      </c>
      <c r="D78" t="str">
        <f>"581.1"</f>
        <v>581.1</v>
      </c>
      <c r="E78" t="str">
        <f>"584.2"</f>
        <v>584.2</v>
      </c>
      <c r="F78" t="str">
        <f>"1,165.3"</f>
        <v>1,165.3</v>
      </c>
    </row>
    <row r="79" spans="1:6" x14ac:dyDescent="0.25">
      <c r="A79">
        <v>75</v>
      </c>
      <c r="B79" t="str">
        <f>"Fiori, Peter (129612)"</f>
        <v>Fiori, Peter (129612)</v>
      </c>
      <c r="C79" t="str">
        <f>"Lebanon, NJ"</f>
        <v>Lebanon, NJ</v>
      </c>
      <c r="D79" t="str">
        <f>"580.4"</f>
        <v>580.4</v>
      </c>
      <c r="E79" t="str">
        <f>"576.9"</f>
        <v>576.9</v>
      </c>
      <c r="F79" t="str">
        <f>"1,157.3"</f>
        <v>1,157.3</v>
      </c>
    </row>
    <row r="80" spans="1:6" x14ac:dyDescent="0.25">
      <c r="A80">
        <v>76</v>
      </c>
      <c r="B80" t="str">
        <f>"Parziale, Brian (205160)"</f>
        <v>Parziale, Brian (205160)</v>
      </c>
      <c r="C80" t="str">
        <f>"Schaumburg, IL"</f>
        <v>Schaumburg, IL</v>
      </c>
      <c r="D80" t="str">
        <f>"578.6"</f>
        <v>578.6</v>
      </c>
      <c r="E80" t="str">
        <f>"573.7"</f>
        <v>573.7</v>
      </c>
      <c r="F80" t="str">
        <f>"1,152.3"</f>
        <v>1,152.3</v>
      </c>
    </row>
    <row r="81" spans="1:6" x14ac:dyDescent="0.25">
      <c r="A81">
        <v>77</v>
      </c>
      <c r="B81" t="str">
        <f>"St. Hilaire, Joshua (467709)"</f>
        <v>St. Hilaire, Joshua (467709)</v>
      </c>
      <c r="C81" t="str">
        <f>"Needville, TX"</f>
        <v>Needville, TX</v>
      </c>
      <c r="D81" t="str">
        <f>"580.4"</f>
        <v>580.4</v>
      </c>
      <c r="E81" t="str">
        <f>"569.3"</f>
        <v>569.3</v>
      </c>
      <c r="F81" t="str">
        <f>"1,149.7"</f>
        <v>1,149.7</v>
      </c>
    </row>
    <row r="82" spans="1:6" x14ac:dyDescent="0.25">
      <c r="A82">
        <v>78</v>
      </c>
      <c r="B82" t="str">
        <f>"Masters, Jaxon (486454)"</f>
        <v>Masters, Jaxon (486454)</v>
      </c>
      <c r="C82" t="str">
        <f>"Macungie, PA"</f>
        <v>Macungie, PA</v>
      </c>
      <c r="D82" t="str">
        <f>"574.8"</f>
        <v>574.8</v>
      </c>
      <c r="E82" t="str">
        <f>"561.8"</f>
        <v>561.8</v>
      </c>
      <c r="F82" t="str">
        <f>"1,136.6"</f>
        <v>1,136.6</v>
      </c>
    </row>
    <row r="83" spans="1:6" x14ac:dyDescent="0.25">
      <c r="A83">
        <v>79</v>
      </c>
      <c r="B83" t="str">
        <f>"Headlee, David (477257)"</f>
        <v>Headlee, David (477257)</v>
      </c>
      <c r="C83" t="str">
        <f>"Fort wayne, IN"</f>
        <v>Fort wayne, IN</v>
      </c>
      <c r="D83" t="str">
        <f>"561.4"</f>
        <v>561.4</v>
      </c>
      <c r="E83" t="str">
        <f>"574.6"</f>
        <v>574.6</v>
      </c>
      <c r="F83" t="str">
        <f>"1,136.0"</f>
        <v>1,136.0</v>
      </c>
    </row>
    <row r="84" spans="1:6" x14ac:dyDescent="0.25">
      <c r="A84">
        <v>80</v>
      </c>
      <c r="B84" t="str">
        <f>"Miller, Adrian (427301)"</f>
        <v>Miller, Adrian (427301)</v>
      </c>
      <c r="C84" t="str">
        <f>"Green Springs, OH"</f>
        <v>Green Springs, OH</v>
      </c>
      <c r="D84" t="str">
        <f>"560.7"</f>
        <v>560.7</v>
      </c>
      <c r="E84" t="str">
        <f>"575.0"</f>
        <v>575.0</v>
      </c>
      <c r="F84" t="str">
        <f>"1,135.7"</f>
        <v>1,135.7</v>
      </c>
    </row>
    <row r="85" spans="1:6" x14ac:dyDescent="0.25">
      <c r="A85">
        <v>81</v>
      </c>
      <c r="B85" t="str">
        <f>"Lake, Austin (380714)"</f>
        <v>Lake, Austin (380714)</v>
      </c>
      <c r="C85" t="str">
        <f>"North East, PA"</f>
        <v>North East, PA</v>
      </c>
      <c r="D85" t="str">
        <f>"560.8"</f>
        <v>560.8</v>
      </c>
      <c r="E85" t="str">
        <f>"574.9"</f>
        <v>574.9</v>
      </c>
      <c r="F85" t="str">
        <f>"1,135.7"</f>
        <v>1,135.7</v>
      </c>
    </row>
    <row r="86" spans="1:6" x14ac:dyDescent="0.25">
      <c r="A86">
        <v>82</v>
      </c>
      <c r="B86" t="str">
        <f>"Ray, Nathaniel  (489807)"</f>
        <v>Ray, Nathaniel  (489807)</v>
      </c>
      <c r="C86" t="str">
        <f>"Durham, NC"</f>
        <v>Durham, NC</v>
      </c>
      <c r="D86" t="str">
        <f>"568.9"</f>
        <v>568.9</v>
      </c>
      <c r="E86" t="str">
        <f>"562.2"</f>
        <v>562.2</v>
      </c>
      <c r="F86" t="str">
        <f>"1,131.1"</f>
        <v>1,131.1</v>
      </c>
    </row>
    <row r="87" spans="1:6" x14ac:dyDescent="0.25">
      <c r="A87">
        <v>83</v>
      </c>
      <c r="B87" t="str">
        <f>"Boring, Marshal (504287)"</f>
        <v>Boring, Marshal (504287)</v>
      </c>
      <c r="C87" t="str">
        <f>"New Tripoli, PA"</f>
        <v>New Tripoli, PA</v>
      </c>
      <c r="D87" t="str">
        <f>"560.0"</f>
        <v>560.0</v>
      </c>
      <c r="E87" t="str">
        <f>"570.8"</f>
        <v>570.8</v>
      </c>
      <c r="F87" t="str">
        <f>"1,130.8"</f>
        <v>1,130.8</v>
      </c>
    </row>
    <row r="88" spans="1:6" x14ac:dyDescent="0.25">
      <c r="A88">
        <v>84</v>
      </c>
      <c r="B88" t="str">
        <f>"Colson, Brayden (443238)"</f>
        <v>Colson, Brayden (443238)</v>
      </c>
      <c r="C88" t="str">
        <f>"Vidalia, GA"</f>
        <v>Vidalia, GA</v>
      </c>
      <c r="D88" t="str">
        <f>"558.4"</f>
        <v>558.4</v>
      </c>
      <c r="E88" t="str">
        <f>"571.6"</f>
        <v>571.6</v>
      </c>
      <c r="F88" t="str">
        <f>"1,130.0"</f>
        <v>1,130.0</v>
      </c>
    </row>
    <row r="89" spans="1:6" x14ac:dyDescent="0.25">
      <c r="A89">
        <v>85</v>
      </c>
      <c r="B89" t="str">
        <f>"Hovis, Owen (486446)"</f>
        <v>Hovis, Owen (486446)</v>
      </c>
      <c r="C89" t="str">
        <f>"CENTER VALLEY, PA"</f>
        <v>CENTER VALLEY, PA</v>
      </c>
      <c r="D89" t="str">
        <f>"566.4"</f>
        <v>566.4</v>
      </c>
      <c r="E89" t="str">
        <f>"553.6"</f>
        <v>553.6</v>
      </c>
      <c r="F89" t="str">
        <f>"1,120.0"</f>
        <v>1,120.0</v>
      </c>
    </row>
    <row r="90" spans="1:6" x14ac:dyDescent="0.25">
      <c r="A90">
        <v>86</v>
      </c>
      <c r="B90" t="str">
        <f>"Lastra, Guido (400446)"</f>
        <v>Lastra, Guido (400446)</v>
      </c>
      <c r="C90" t="str">
        <f>"Columbia, MO"</f>
        <v>Columbia, MO</v>
      </c>
      <c r="D90" t="str">
        <f>"553.0"</f>
        <v>553.0</v>
      </c>
      <c r="E90" t="str">
        <f>"553.3"</f>
        <v>553.3</v>
      </c>
      <c r="F90" t="str">
        <f>"1,106.3"</f>
        <v>1,106.3</v>
      </c>
    </row>
    <row r="91" spans="1:6" x14ac:dyDescent="0.25">
      <c r="A91">
        <v>87</v>
      </c>
      <c r="B91" t="str">
        <f>"Lemmon, Xander (391077)"</f>
        <v>Lemmon, Xander (391077)</v>
      </c>
      <c r="C91" t="str">
        <f>"Clyde, OH"</f>
        <v>Clyde, OH</v>
      </c>
      <c r="D91" t="str">
        <f>"573.5"</f>
        <v>573.5</v>
      </c>
      <c r="E91" t="str">
        <f>"528.4"</f>
        <v>528.4</v>
      </c>
      <c r="F91" t="str">
        <f>"1,101.9"</f>
        <v>1,101.9</v>
      </c>
    </row>
    <row r="92" spans="1:6" x14ac:dyDescent="0.25">
      <c r="A92">
        <v>88</v>
      </c>
      <c r="B92" t="str">
        <f>"Hudson, Robbie (488615)"</f>
        <v>Hudson, Robbie (488615)</v>
      </c>
      <c r="C92" t="str">
        <f>"Niskayuna, NY"</f>
        <v>Niskayuna, NY</v>
      </c>
      <c r="D92" t="str">
        <f>"554.9"</f>
        <v>554.9</v>
      </c>
      <c r="E92" t="str">
        <f>"543.3"</f>
        <v>543.3</v>
      </c>
      <c r="F92" t="str">
        <f>"1,098.2"</f>
        <v>1,098.2</v>
      </c>
    </row>
    <row r="93" spans="1:6" x14ac:dyDescent="0.25">
      <c r="A93">
        <v>89</v>
      </c>
      <c r="B93" t="str">
        <f>"Nitschke, Bentley (471290)"</f>
        <v>Nitschke, Bentley (471290)</v>
      </c>
      <c r="C93" t="str">
        <f>"Tiffin, OH"</f>
        <v>Tiffin, OH</v>
      </c>
      <c r="D93" t="str">
        <f>"542.2"</f>
        <v>542.2</v>
      </c>
      <c r="E93" t="str">
        <f>"545.5"</f>
        <v>545.5</v>
      </c>
      <c r="F93" t="str">
        <f>"1,087.7"</f>
        <v>1,087.7</v>
      </c>
    </row>
    <row r="94" spans="1:6" x14ac:dyDescent="0.25">
      <c r="A94">
        <v>90</v>
      </c>
      <c r="B94" t="str">
        <f>"Battagello, Owen (486213)"</f>
        <v>Battagello, Owen (486213)</v>
      </c>
      <c r="C94" t="str">
        <f>"BURKE, VA"</f>
        <v>BURKE, VA</v>
      </c>
      <c r="D94" t="str">
        <f>"524.9"</f>
        <v>524.9</v>
      </c>
      <c r="E94" t="str">
        <f>"538.2"</f>
        <v>538.2</v>
      </c>
      <c r="F94" t="str">
        <f>"1,063.1"</f>
        <v>1,063.1</v>
      </c>
    </row>
    <row r="95" spans="1:6" x14ac:dyDescent="0.25">
      <c r="A95">
        <v>91</v>
      </c>
      <c r="B95" t="str">
        <f>"Peters, Colton (207605)"</f>
        <v>Peters, Colton (207605)</v>
      </c>
      <c r="C95" t="str">
        <f>"Sandusky, OH"</f>
        <v>Sandusky, OH</v>
      </c>
      <c r="D95" t="str">
        <f>"589.9"</f>
        <v>589.9</v>
      </c>
      <c r="E95" t="str">
        <f>""</f>
        <v/>
      </c>
      <c r="F95" t="str">
        <f>"589.9"</f>
        <v>589.9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1254D-A758-45E6-A0A2-6754F2566820}">
  <dimension ref="A1:T26"/>
  <sheetViews>
    <sheetView workbookViewId="0">
      <selection activeCell="A15" sqref="A15:S28"/>
    </sheetView>
  </sheetViews>
  <sheetFormatPr defaultRowHeight="15" x14ac:dyDescent="0.25"/>
  <cols>
    <col min="1" max="1" width="42.7109375" bestFit="1" customWidth="1"/>
    <col min="2" max="2" width="31.5703125" bestFit="1" customWidth="1"/>
    <col min="3" max="3" width="25.7109375" bestFit="1" customWidth="1"/>
  </cols>
  <sheetData>
    <row r="1" spans="1:20" x14ac:dyDescent="0.25">
      <c r="A1" t="str">
        <f>"2025 USA Shooting Winter Air Gun - Camp Perry"</f>
        <v>2025 USA Shooting Winter Air Gun - Camp Perry</v>
      </c>
    </row>
    <row r="2" spans="1:20" x14ac:dyDescent="0.25">
      <c r="A2" t="str">
        <f>"Open Men"</f>
        <v>Open Men</v>
      </c>
    </row>
    <row r="3" spans="1:20" x14ac:dyDescent="0.25">
      <c r="A3" t="str">
        <f>""</f>
        <v/>
      </c>
    </row>
    <row r="4" spans="1:20" x14ac:dyDescent="0.25">
      <c r="A4" t="str">
        <f>"Place"</f>
        <v>Place</v>
      </c>
      <c r="B4" t="str">
        <f>"Competitor (Comp Num)"</f>
        <v>Competitor (Comp Num)</v>
      </c>
      <c r="C4" t="str">
        <f>"Hometown"</f>
        <v>Hometown</v>
      </c>
      <c r="D4" t="str">
        <f>"ISSF Final, First 5 Shot Stage"</f>
        <v>ISSF Final, First 5 Shot Stage</v>
      </c>
      <c r="E4" t="str">
        <f>"ISSF Final, Second 5 Shot"</f>
        <v>ISSF Final, Second 5 Shot</v>
      </c>
      <c r="F4" t="str">
        <f>"ISSF Final, First 2 Shot"</f>
        <v>ISSF Final, First 2 Shot</v>
      </c>
      <c r="G4" t="str">
        <f>"ISSF Final, Shootoff after F3"</f>
        <v>ISSF Final, Shootoff after F3</v>
      </c>
      <c r="H4" t="str">
        <f>"ISSF Final, Second 2 Shot"</f>
        <v>ISSF Final, Second 2 Shot</v>
      </c>
      <c r="I4" t="str">
        <f>"ISSF Final, Shootoff after F4"</f>
        <v>ISSF Final, Shootoff after F4</v>
      </c>
      <c r="J4" t="str">
        <f>"ISSF Final, Third 2 Shot"</f>
        <v>ISSF Final, Third 2 Shot</v>
      </c>
      <c r="K4" t="str">
        <f>"ISSF Final, Shootoff after F5"</f>
        <v>ISSF Final, Shootoff after F5</v>
      </c>
      <c r="L4" t="str">
        <f>"ISSF Final, Fourth 2 Shot"</f>
        <v>ISSF Final, Fourth 2 Shot</v>
      </c>
      <c r="M4" t="str">
        <f>"ISSF Final, Shootoff after F6"</f>
        <v>ISSF Final, Shootoff after F6</v>
      </c>
      <c r="N4" t="str">
        <f>"ISSF Final, Fifth 2 Shot"</f>
        <v>ISSF Final, Fifth 2 Shot</v>
      </c>
      <c r="O4" t="str">
        <f>"ISSF Final, Shootoff after F7"</f>
        <v>ISSF Final, Shootoff after F7</v>
      </c>
      <c r="P4" t="str">
        <f>"ISSF Final, Sixth 2 Shot"</f>
        <v>ISSF Final, Sixth 2 Shot</v>
      </c>
      <c r="Q4" t="str">
        <f>"ISSF Final, Shootoff after F8"</f>
        <v>ISSF Final, Shootoff after F8</v>
      </c>
      <c r="R4" t="str">
        <f>"ISSF Final, Seventh 2 Shot"</f>
        <v>ISSF Final, Seventh 2 Shot</v>
      </c>
      <c r="S4" t="str">
        <f>"ISSF Final, Shootoff after F9"</f>
        <v>ISSF Final, Shootoff after F9</v>
      </c>
      <c r="T4" t="str">
        <f>"Aggregate"</f>
        <v>Aggregate</v>
      </c>
    </row>
    <row r="5" spans="1:20" x14ac:dyDescent="0.25">
      <c r="A5">
        <v>1</v>
      </c>
      <c r="B5" t="str">
        <f>"Fiori, Peter, SrA, USAF (167423)"</f>
        <v>Fiori, Peter, SrA, USAF (167423)</v>
      </c>
      <c r="C5" t="str">
        <f>"Lebanon, NJ"</f>
        <v>Lebanon, NJ</v>
      </c>
      <c r="D5" t="str">
        <f>"53.7"</f>
        <v>53.7</v>
      </c>
      <c r="E5" t="str">
        <f>"52.6"</f>
        <v>52.6</v>
      </c>
      <c r="F5" t="str">
        <f>"20.9"</f>
        <v>20.9</v>
      </c>
      <c r="G5" t="str">
        <f>""</f>
        <v/>
      </c>
      <c r="H5" t="str">
        <f>"20.8"</f>
        <v>20.8</v>
      </c>
      <c r="I5" t="str">
        <f>""</f>
        <v/>
      </c>
      <c r="J5" t="str">
        <f>"20.5"</f>
        <v>20.5</v>
      </c>
      <c r="K5" t="str">
        <f>""</f>
        <v/>
      </c>
      <c r="L5" t="str">
        <f>"21.3"</f>
        <v>21.3</v>
      </c>
      <c r="M5" t="str">
        <f>""</f>
        <v/>
      </c>
      <c r="N5" t="str">
        <f>"21.4"</f>
        <v>21.4</v>
      </c>
      <c r="O5" t="str">
        <f>""</f>
        <v/>
      </c>
      <c r="P5" t="str">
        <f>"21.0"</f>
        <v>21.0</v>
      </c>
      <c r="Q5" t="str">
        <f>""</f>
        <v/>
      </c>
      <c r="R5" t="str">
        <f>"20.8"</f>
        <v>20.8</v>
      </c>
      <c r="S5" t="str">
        <f>""</f>
        <v/>
      </c>
      <c r="T5" t="str">
        <f>"253.0"</f>
        <v>253.0</v>
      </c>
    </row>
    <row r="6" spans="1:20" x14ac:dyDescent="0.25">
      <c r="A6">
        <v>2</v>
      </c>
      <c r="B6" t="str">
        <f>"Lake, Griffin (277543)"</f>
        <v>Lake, Griffin (277543)</v>
      </c>
      <c r="C6" t="str">
        <f>"Emmaus, PA"</f>
        <v>Emmaus, PA</v>
      </c>
      <c r="D6" t="str">
        <f>"51.2"</f>
        <v>51.2</v>
      </c>
      <c r="E6" t="str">
        <f>"53.3"</f>
        <v>53.3</v>
      </c>
      <c r="F6" t="str">
        <f>"19.6"</f>
        <v>19.6</v>
      </c>
      <c r="G6" t="str">
        <f>""</f>
        <v/>
      </c>
      <c r="H6" t="str">
        <f>"20.8"</f>
        <v>20.8</v>
      </c>
      <c r="I6" t="str">
        <f>""</f>
        <v/>
      </c>
      <c r="J6" t="str">
        <f>"20.9"</f>
        <v>20.9</v>
      </c>
      <c r="K6" t="str">
        <f>""</f>
        <v/>
      </c>
      <c r="L6" t="str">
        <f>"21.2"</f>
        <v>21.2</v>
      </c>
      <c r="M6" t="str">
        <f>""</f>
        <v/>
      </c>
      <c r="N6" t="str">
        <f>"21.5"</f>
        <v>21.5</v>
      </c>
      <c r="O6" t="str">
        <f>""</f>
        <v/>
      </c>
      <c r="P6" t="str">
        <f>"21.1"</f>
        <v>21.1</v>
      </c>
      <c r="Q6" t="str">
        <f>""</f>
        <v/>
      </c>
      <c r="R6" t="str">
        <f>"21.2"</f>
        <v>21.2</v>
      </c>
      <c r="S6" t="str">
        <f>""</f>
        <v/>
      </c>
      <c r="T6" t="str">
        <f>"250.8"</f>
        <v>250.8</v>
      </c>
    </row>
    <row r="7" spans="1:20" x14ac:dyDescent="0.25">
      <c r="A7">
        <v>3</v>
      </c>
      <c r="B7" t="str">
        <f>"Peiser, Braden (280766)"</f>
        <v>Peiser, Braden (280766)</v>
      </c>
      <c r="C7" t="str">
        <f>"San Angelo, TX"</f>
        <v>San Angelo, TX</v>
      </c>
      <c r="D7" t="str">
        <f>"51.6"</f>
        <v>51.6</v>
      </c>
      <c r="E7" t="str">
        <f>"51.8"</f>
        <v>51.8</v>
      </c>
      <c r="F7" t="str">
        <f>"21.0"</f>
        <v>21.0</v>
      </c>
      <c r="G7" t="str">
        <f>""</f>
        <v/>
      </c>
      <c r="H7" t="str">
        <f>"20.8"</f>
        <v>20.8</v>
      </c>
      <c r="I7" t="str">
        <f>""</f>
        <v/>
      </c>
      <c r="J7" t="str">
        <f>"21.0"</f>
        <v>21.0</v>
      </c>
      <c r="K7" t="str">
        <f>""</f>
        <v/>
      </c>
      <c r="L7" t="str">
        <f>"20.3"</f>
        <v>20.3</v>
      </c>
      <c r="M7" t="str">
        <f>""</f>
        <v/>
      </c>
      <c r="N7" t="str">
        <f>"20.7"</f>
        <v>20.7</v>
      </c>
      <c r="O7" t="str">
        <f>""</f>
        <v/>
      </c>
      <c r="P7" t="str">
        <f>"21.3"</f>
        <v>21.3</v>
      </c>
      <c r="Q7" t="str">
        <f>""</f>
        <v/>
      </c>
      <c r="R7" t="str">
        <f>""</f>
        <v/>
      </c>
      <c r="S7" t="str">
        <f>""</f>
        <v/>
      </c>
      <c r="T7" t="str">
        <f>"228.5"</f>
        <v>228.5</v>
      </c>
    </row>
    <row r="8" spans="1:20" x14ac:dyDescent="0.25">
      <c r="A8">
        <v>4</v>
      </c>
      <c r="B8" t="str">
        <f>"Muske, Brandon, SSG, USA (66790)"</f>
        <v>Muske, Brandon, SSG, USA (66790)</v>
      </c>
      <c r="C8" t="str">
        <f>"Midland, GA"</f>
        <v>Midland, GA</v>
      </c>
      <c r="D8" t="str">
        <f>"52.1"</f>
        <v>52.1</v>
      </c>
      <c r="E8" t="str">
        <f>"51.4"</f>
        <v>51.4</v>
      </c>
      <c r="F8" t="str">
        <f>"20.8"</f>
        <v>20.8</v>
      </c>
      <c r="G8" t="str">
        <f>""</f>
        <v/>
      </c>
      <c r="H8" t="str">
        <f>"20.4"</f>
        <v>20.4</v>
      </c>
      <c r="I8" t="str">
        <f>""</f>
        <v/>
      </c>
      <c r="J8" t="str">
        <f>"21.1"</f>
        <v>21.1</v>
      </c>
      <c r="K8" t="str">
        <f>""</f>
        <v/>
      </c>
      <c r="L8" t="str">
        <f>"20.6"</f>
        <v>20.6</v>
      </c>
      <c r="M8" t="str">
        <f>""</f>
        <v/>
      </c>
      <c r="N8" t="str">
        <f>"20.7"</f>
        <v>20.7</v>
      </c>
      <c r="O8" t="str">
        <f>""</f>
        <v/>
      </c>
      <c r="P8" t="str">
        <f>""</f>
        <v/>
      </c>
      <c r="Q8" t="str">
        <f>""</f>
        <v/>
      </c>
      <c r="R8" t="str">
        <f>""</f>
        <v/>
      </c>
      <c r="S8" t="str">
        <f>""</f>
        <v/>
      </c>
      <c r="T8" t="str">
        <f>"207.1"</f>
        <v>207.1</v>
      </c>
    </row>
    <row r="9" spans="1:20" x14ac:dyDescent="0.25">
      <c r="A9">
        <v>5</v>
      </c>
      <c r="B9" t="str">
        <f>"Sherry, Timothy, SSG, USA (72550)"</f>
        <v>Sherry, Timothy, SSG, USA (72550)</v>
      </c>
      <c r="C9" t="str">
        <f>"Columbus, GA"</f>
        <v>Columbus, GA</v>
      </c>
      <c r="D9" t="str">
        <f>"50.3"</f>
        <v>50.3</v>
      </c>
      <c r="E9" t="str">
        <f>"51.8"</f>
        <v>51.8</v>
      </c>
      <c r="F9" t="str">
        <f>"21.5"</f>
        <v>21.5</v>
      </c>
      <c r="G9" t="str">
        <f>""</f>
        <v/>
      </c>
      <c r="H9" t="str">
        <f>"20.8"</f>
        <v>20.8</v>
      </c>
      <c r="I9" t="str">
        <f>""</f>
        <v/>
      </c>
      <c r="J9" t="str">
        <f>"19.8"</f>
        <v>19.8</v>
      </c>
      <c r="K9" t="str">
        <f>""</f>
        <v/>
      </c>
      <c r="L9" t="str">
        <f>"21.2"</f>
        <v>21.2</v>
      </c>
      <c r="M9" t="str">
        <f>""</f>
        <v/>
      </c>
      <c r="N9" t="str">
        <f>""</f>
        <v/>
      </c>
      <c r="O9" t="str">
        <f>""</f>
        <v/>
      </c>
      <c r="P9" t="str">
        <f>""</f>
        <v/>
      </c>
      <c r="Q9" t="str">
        <f>""</f>
        <v/>
      </c>
      <c r="R9" t="str">
        <f>""</f>
        <v/>
      </c>
      <c r="S9" t="str">
        <f>""</f>
        <v/>
      </c>
      <c r="T9" t="str">
        <f>"185.4"</f>
        <v>185.4</v>
      </c>
    </row>
    <row r="10" spans="1:20" x14ac:dyDescent="0.25">
      <c r="A10">
        <v>6</v>
      </c>
      <c r="B10" t="str">
        <f>"Eddy, Jared, SP4, USA (224371)"</f>
        <v>Eddy, Jared, SP4, USA (224371)</v>
      </c>
      <c r="C10" t="str">
        <f>"Midland, GA"</f>
        <v>Midland, GA</v>
      </c>
      <c r="D10" t="str">
        <f>"52.5"</f>
        <v>52.5</v>
      </c>
      <c r="E10" t="str">
        <f>"50.6"</f>
        <v>50.6</v>
      </c>
      <c r="F10" t="str">
        <f>"19.2"</f>
        <v>19.2</v>
      </c>
      <c r="G10" t="str">
        <f>""</f>
        <v/>
      </c>
      <c r="H10" t="str">
        <f>"20.8"</f>
        <v>20.8</v>
      </c>
      <c r="I10" t="str">
        <f>""</f>
        <v/>
      </c>
      <c r="J10" t="str">
        <f>"20.8"</f>
        <v>20.8</v>
      </c>
      <c r="K10" t="str">
        <f>""</f>
        <v/>
      </c>
      <c r="L10" t="str">
        <f>""</f>
        <v/>
      </c>
      <c r="M10" t="str">
        <f>""</f>
        <v/>
      </c>
      <c r="N10" t="str">
        <f>""</f>
        <v/>
      </c>
      <c r="O10" t="str">
        <f>""</f>
        <v/>
      </c>
      <c r="P10" t="str">
        <f>""</f>
        <v/>
      </c>
      <c r="Q10" t="str">
        <f>""</f>
        <v/>
      </c>
      <c r="R10" t="str">
        <f>""</f>
        <v/>
      </c>
      <c r="S10" t="str">
        <f>""</f>
        <v/>
      </c>
      <c r="T10" t="str">
        <f>"163.9"</f>
        <v>163.9</v>
      </c>
    </row>
    <row r="11" spans="1:20" x14ac:dyDescent="0.25">
      <c r="A11">
        <v>7</v>
      </c>
      <c r="B11" t="str">
        <f>"Wisman, Jacob (280941)"</f>
        <v>Wisman, Jacob (280941)</v>
      </c>
      <c r="C11" t="str">
        <f>"Independence, WV"</f>
        <v>Independence, WV</v>
      </c>
      <c r="D11" t="str">
        <f>"51.0"</f>
        <v>51.0</v>
      </c>
      <c r="E11" t="str">
        <f>"51.7"</f>
        <v>51.7</v>
      </c>
      <c r="F11" t="str">
        <f>"19.7"</f>
        <v>19.7</v>
      </c>
      <c r="G11" t="str">
        <f>""</f>
        <v/>
      </c>
      <c r="H11" t="str">
        <f>"20.2"</f>
        <v>20.2</v>
      </c>
      <c r="I11" t="str">
        <f>""</f>
        <v/>
      </c>
      <c r="J11" t="str">
        <f>""</f>
        <v/>
      </c>
      <c r="K11" t="str">
        <f>""</f>
        <v/>
      </c>
      <c r="L11" t="str">
        <f>""</f>
        <v/>
      </c>
      <c r="M11" t="str">
        <f>""</f>
        <v/>
      </c>
      <c r="N11" t="str">
        <f>""</f>
        <v/>
      </c>
      <c r="O11" t="str">
        <f>""</f>
        <v/>
      </c>
      <c r="P11" t="str">
        <f>""</f>
        <v/>
      </c>
      <c r="Q11" t="str">
        <f>""</f>
        <v/>
      </c>
      <c r="R11" t="str">
        <f>""</f>
        <v/>
      </c>
      <c r="S11" t="str">
        <f>""</f>
        <v/>
      </c>
      <c r="T11" t="str">
        <f>"142.6"</f>
        <v>142.6</v>
      </c>
    </row>
    <row r="12" spans="1:20" x14ac:dyDescent="0.25">
      <c r="A12">
        <v>8</v>
      </c>
      <c r="B12" t="str">
        <f>"Barnick, Gavin (277417)"</f>
        <v>Barnick, Gavin (277417)</v>
      </c>
      <c r="C12" t="str">
        <f>"Appleton, WI"</f>
        <v>Appleton, WI</v>
      </c>
      <c r="D12" t="str">
        <f>"50.6"</f>
        <v>50.6</v>
      </c>
      <c r="E12" t="str">
        <f>"50.8"</f>
        <v>50.8</v>
      </c>
      <c r="F12" t="str">
        <f>"19.4"</f>
        <v>19.4</v>
      </c>
      <c r="G12" t="str">
        <f>""</f>
        <v/>
      </c>
      <c r="H12" t="str">
        <f>""</f>
        <v/>
      </c>
      <c r="I12" t="str">
        <f>""</f>
        <v/>
      </c>
      <c r="J12" t="str">
        <f>""</f>
        <v/>
      </c>
      <c r="K12" t="str">
        <f>""</f>
        <v/>
      </c>
      <c r="L12" t="str">
        <f>""</f>
        <v/>
      </c>
      <c r="M12" t="str">
        <f>""</f>
        <v/>
      </c>
      <c r="N12" t="str">
        <f>""</f>
        <v/>
      </c>
      <c r="O12" t="str">
        <f>""</f>
        <v/>
      </c>
      <c r="P12" t="str">
        <f>""</f>
        <v/>
      </c>
      <c r="Q12" t="str">
        <f>""</f>
        <v/>
      </c>
      <c r="R12" t="str">
        <f>""</f>
        <v/>
      </c>
      <c r="S12" t="str">
        <f>""</f>
        <v/>
      </c>
      <c r="T12" t="str">
        <f>"120.8"</f>
        <v>120.8</v>
      </c>
    </row>
    <row r="15" spans="1:20" x14ac:dyDescent="0.25">
      <c r="A15" t="str">
        <f>"2025 USA Shooting Winter Air Gun - Camp Perry"</f>
        <v>2025 USA Shooting Winter Air Gun - Camp Perry</v>
      </c>
    </row>
    <row r="16" spans="1:20" x14ac:dyDescent="0.25">
      <c r="A16" t="str">
        <f>"Junior Men's Final"</f>
        <v>Junior Men's Final</v>
      </c>
    </row>
    <row r="17" spans="1:19" x14ac:dyDescent="0.25">
      <c r="A17" t="str">
        <f>""</f>
        <v/>
      </c>
    </row>
    <row r="18" spans="1:19" x14ac:dyDescent="0.25">
      <c r="A18" t="str">
        <f>"Place"</f>
        <v>Place</v>
      </c>
      <c r="B18" t="str">
        <f>"Competitor (Comp Num)"</f>
        <v>Competitor (Comp Num)</v>
      </c>
      <c r="C18" t="str">
        <f>"ISSF Final, First 5 Shot Stage"</f>
        <v>ISSF Final, First 5 Shot Stage</v>
      </c>
      <c r="D18" t="str">
        <f>"ISSF Final, Second 5 Shot"</f>
        <v>ISSF Final, Second 5 Shot</v>
      </c>
      <c r="E18" t="str">
        <f>"ISSF Final, First 2 Shot"</f>
        <v>ISSF Final, First 2 Shot</v>
      </c>
      <c r="F18" t="str">
        <f>"ISSF Final, Shootoff after F3"</f>
        <v>ISSF Final, Shootoff after F3</v>
      </c>
      <c r="G18" t="str">
        <f>"ISSF Final, Second 2 Shot"</f>
        <v>ISSF Final, Second 2 Shot</v>
      </c>
      <c r="H18" t="str">
        <f>"ISSF Final, Shootoff after F4"</f>
        <v>ISSF Final, Shootoff after F4</v>
      </c>
      <c r="I18" t="str">
        <f>"ISSF Final, Third 2 Shot"</f>
        <v>ISSF Final, Third 2 Shot</v>
      </c>
      <c r="J18" t="str">
        <f>"ISSF Final, Shootoff after F5"</f>
        <v>ISSF Final, Shootoff after F5</v>
      </c>
      <c r="K18" t="str">
        <f>"ISSF Final, Fourth 2 Shot"</f>
        <v>ISSF Final, Fourth 2 Shot</v>
      </c>
      <c r="L18" t="str">
        <f>"ISSF Final, Shootoff after F6"</f>
        <v>ISSF Final, Shootoff after F6</v>
      </c>
      <c r="M18" t="str">
        <f>"ISSF Final, Fifth 2 Shot"</f>
        <v>ISSF Final, Fifth 2 Shot</v>
      </c>
      <c r="N18" t="str">
        <f>"ISSF Final, Shootoff after F7"</f>
        <v>ISSF Final, Shootoff after F7</v>
      </c>
      <c r="O18" t="str">
        <f>"ISSF Final, Sixth 2 Shot"</f>
        <v>ISSF Final, Sixth 2 Shot</v>
      </c>
      <c r="P18" t="str">
        <f>"ISSF Final, Shootoff after F8"</f>
        <v>ISSF Final, Shootoff after F8</v>
      </c>
      <c r="Q18" t="str">
        <f>"ISSF Final, Seventh 2 Shot"</f>
        <v>ISSF Final, Seventh 2 Shot</v>
      </c>
      <c r="R18" t="str">
        <f>"ISSF Final, Shootoff after F9"</f>
        <v>ISSF Final, Shootoff after F9</v>
      </c>
      <c r="S18" t="str">
        <f>"Aggregate"</f>
        <v>Aggregate</v>
      </c>
    </row>
    <row r="19" spans="1:19" x14ac:dyDescent="0.25">
      <c r="A19">
        <v>1</v>
      </c>
      <c r="B19" t="str">
        <f>"Lake, Griffin (277543)"</f>
        <v>Lake, Griffin (277543)</v>
      </c>
      <c r="C19" t="str">
        <f>"53.7"</f>
        <v>53.7</v>
      </c>
      <c r="D19" t="str">
        <f>"52.5"</f>
        <v>52.5</v>
      </c>
      <c r="E19" t="str">
        <f>"21.1"</f>
        <v>21.1</v>
      </c>
      <c r="F19" t="str">
        <f>""</f>
        <v/>
      </c>
      <c r="G19" t="str">
        <f>"21.7"</f>
        <v>21.7</v>
      </c>
      <c r="H19" t="str">
        <f>""</f>
        <v/>
      </c>
      <c r="I19" t="str">
        <f>"21.0"</f>
        <v>21.0</v>
      </c>
      <c r="J19" t="str">
        <f>""</f>
        <v/>
      </c>
      <c r="K19" t="str">
        <f>"20.6"</f>
        <v>20.6</v>
      </c>
      <c r="L19" t="str">
        <f>""</f>
        <v/>
      </c>
      <c r="M19" t="str">
        <f>"21.0"</f>
        <v>21.0</v>
      </c>
      <c r="N19" t="str">
        <f>""</f>
        <v/>
      </c>
      <c r="O19" t="str">
        <f>"20.7"</f>
        <v>20.7</v>
      </c>
      <c r="P19" t="str">
        <f>""</f>
        <v/>
      </c>
      <c r="Q19" t="str">
        <f>"20.5"</f>
        <v>20.5</v>
      </c>
      <c r="R19" t="str">
        <f>""</f>
        <v/>
      </c>
      <c r="S19" t="str">
        <f>"252.8"</f>
        <v>252.8</v>
      </c>
    </row>
    <row r="20" spans="1:19" x14ac:dyDescent="0.25">
      <c r="A20">
        <v>2</v>
      </c>
      <c r="B20" t="str">
        <f>"Wisman, Jacob (280941)"</f>
        <v>Wisman, Jacob (280941)</v>
      </c>
      <c r="C20" t="str">
        <f>"52.7"</f>
        <v>52.7</v>
      </c>
      <c r="D20" t="str">
        <f>"52.1"</f>
        <v>52.1</v>
      </c>
      <c r="E20" t="str">
        <f>"20.6"</f>
        <v>20.6</v>
      </c>
      <c r="F20" t="str">
        <f>""</f>
        <v/>
      </c>
      <c r="G20" t="str">
        <f>"20.9"</f>
        <v>20.9</v>
      </c>
      <c r="H20" t="str">
        <f>""</f>
        <v/>
      </c>
      <c r="I20" t="str">
        <f>"20.4"</f>
        <v>20.4</v>
      </c>
      <c r="J20" t="str">
        <f>""</f>
        <v/>
      </c>
      <c r="K20" t="str">
        <f>"21.1"</f>
        <v>21.1</v>
      </c>
      <c r="L20" t="str">
        <f>""</f>
        <v/>
      </c>
      <c r="M20" t="str">
        <f>"21.0"</f>
        <v>21.0</v>
      </c>
      <c r="N20" t="str">
        <f>""</f>
        <v/>
      </c>
      <c r="O20" t="str">
        <f>"21.2"</f>
        <v>21.2</v>
      </c>
      <c r="P20" t="str">
        <f>""</f>
        <v/>
      </c>
      <c r="Q20" t="str">
        <f>"20.6"</f>
        <v>20.6</v>
      </c>
      <c r="R20" t="str">
        <f>""</f>
        <v/>
      </c>
      <c r="S20" t="str">
        <f>"250.6"</f>
        <v>250.6</v>
      </c>
    </row>
    <row r="21" spans="1:19" x14ac:dyDescent="0.25">
      <c r="A21">
        <v>3</v>
      </c>
      <c r="B21" t="str">
        <f>"Ogoreuc, Jack (345230)"</f>
        <v>Ogoreuc, Jack (345230)</v>
      </c>
      <c r="C21" t="str">
        <f>"51.7"</f>
        <v>51.7</v>
      </c>
      <c r="D21" t="str">
        <f>"51.4"</f>
        <v>51.4</v>
      </c>
      <c r="E21" t="str">
        <f>"20.5"</f>
        <v>20.5</v>
      </c>
      <c r="F21" t="str">
        <f>""</f>
        <v/>
      </c>
      <c r="G21" t="str">
        <f>"20.6"</f>
        <v>20.6</v>
      </c>
      <c r="H21" t="str">
        <f>""</f>
        <v/>
      </c>
      <c r="I21" t="str">
        <f>"20.7"</f>
        <v>20.7</v>
      </c>
      <c r="J21" t="str">
        <f>""</f>
        <v/>
      </c>
      <c r="K21" t="str">
        <f>"21.1"</f>
        <v>21.1</v>
      </c>
      <c r="L21" t="str">
        <f>""</f>
        <v/>
      </c>
      <c r="M21" t="str">
        <f>"20.0"</f>
        <v>20.0</v>
      </c>
      <c r="N21" t="str">
        <f>""</f>
        <v/>
      </c>
      <c r="O21" t="str">
        <f>"19.8"</f>
        <v>19.8</v>
      </c>
      <c r="P21" t="str">
        <f>""</f>
        <v/>
      </c>
      <c r="Q21" t="str">
        <f>""</f>
        <v/>
      </c>
      <c r="R21" t="str">
        <f>""</f>
        <v/>
      </c>
      <c r="S21" t="str">
        <f>"225.8"</f>
        <v>225.8</v>
      </c>
    </row>
    <row r="22" spans="1:19" x14ac:dyDescent="0.25">
      <c r="A22">
        <v>4</v>
      </c>
      <c r="B22" t="str">
        <f>"Peiser, Braden (280766)"</f>
        <v>Peiser, Braden (280766)</v>
      </c>
      <c r="C22" t="str">
        <f>"51.5"</f>
        <v>51.5</v>
      </c>
      <c r="D22" t="str">
        <f>"52.3"</f>
        <v>52.3</v>
      </c>
      <c r="E22" t="str">
        <f>"20.6"</f>
        <v>20.6</v>
      </c>
      <c r="F22" t="str">
        <f>""</f>
        <v/>
      </c>
      <c r="G22" t="str">
        <f>"19.8"</f>
        <v>19.8</v>
      </c>
      <c r="H22" t="str">
        <f>""</f>
        <v/>
      </c>
      <c r="I22" t="str">
        <f>"20.3"</f>
        <v>20.3</v>
      </c>
      <c r="J22" t="str">
        <f>""</f>
        <v/>
      </c>
      <c r="K22" t="str">
        <f>"20.9"</f>
        <v>20.9</v>
      </c>
      <c r="L22" t="str">
        <f>""</f>
        <v/>
      </c>
      <c r="M22" t="str">
        <f>"20.3"</f>
        <v>20.3</v>
      </c>
      <c r="N22" t="str">
        <f>""</f>
        <v/>
      </c>
      <c r="O22" t="str">
        <f>""</f>
        <v/>
      </c>
      <c r="P22" t="str">
        <f>""</f>
        <v/>
      </c>
      <c r="Q22" t="str">
        <f>""</f>
        <v/>
      </c>
      <c r="R22" t="str">
        <f>""</f>
        <v/>
      </c>
      <c r="S22" t="str">
        <f>"205.7"</f>
        <v>205.7</v>
      </c>
    </row>
    <row r="23" spans="1:19" x14ac:dyDescent="0.25">
      <c r="A23">
        <v>5</v>
      </c>
      <c r="B23" t="str">
        <f>"Abzug, Noah (399850)"</f>
        <v>Abzug, Noah (399850)</v>
      </c>
      <c r="C23" t="str">
        <f>"51.1"</f>
        <v>51.1</v>
      </c>
      <c r="D23" t="str">
        <f>"51.8"</f>
        <v>51.8</v>
      </c>
      <c r="E23" t="str">
        <f>"20.0"</f>
        <v>20.0</v>
      </c>
      <c r="F23" t="str">
        <f>""</f>
        <v/>
      </c>
      <c r="G23" t="str">
        <f>"20.8"</f>
        <v>20.8</v>
      </c>
      <c r="H23" t="str">
        <f>""</f>
        <v/>
      </c>
      <c r="I23" t="str">
        <f>"20.7"</f>
        <v>20.7</v>
      </c>
      <c r="J23" t="str">
        <f>""</f>
        <v/>
      </c>
      <c r="K23" t="str">
        <f>"20.1"</f>
        <v>20.1</v>
      </c>
      <c r="L23" t="str">
        <f>""</f>
        <v/>
      </c>
      <c r="M23" t="str">
        <f>""</f>
        <v/>
      </c>
      <c r="N23" t="str">
        <f>""</f>
        <v/>
      </c>
      <c r="O23" t="str">
        <f>""</f>
        <v/>
      </c>
      <c r="P23" t="str">
        <f>""</f>
        <v/>
      </c>
      <c r="Q23" t="str">
        <f>""</f>
        <v/>
      </c>
      <c r="R23" t="str">
        <f>""</f>
        <v/>
      </c>
      <c r="S23" t="str">
        <f>"184.5"</f>
        <v>184.5</v>
      </c>
    </row>
    <row r="24" spans="1:19" x14ac:dyDescent="0.25">
      <c r="A24">
        <v>6</v>
      </c>
      <c r="B24" t="str">
        <f>"Kimball, Matthew  (446649)"</f>
        <v>Kimball, Matthew  (446649)</v>
      </c>
      <c r="C24" t="str">
        <f>"50.6"</f>
        <v>50.6</v>
      </c>
      <c r="D24" t="str">
        <f>"50.9"</f>
        <v>50.9</v>
      </c>
      <c r="E24" t="str">
        <f>"21.0"</f>
        <v>21.0</v>
      </c>
      <c r="F24" t="str">
        <f>""</f>
        <v/>
      </c>
      <c r="G24" t="str">
        <f>"20.9"</f>
        <v>20.9</v>
      </c>
      <c r="H24" t="str">
        <f>""</f>
        <v/>
      </c>
      <c r="I24" t="str">
        <f>"19.7"</f>
        <v>19.7</v>
      </c>
      <c r="J24" t="str">
        <f>""</f>
        <v/>
      </c>
      <c r="K24" t="str">
        <f>""</f>
        <v/>
      </c>
      <c r="L24" t="str">
        <f>""</f>
        <v/>
      </c>
      <c r="M24" t="str">
        <f>""</f>
        <v/>
      </c>
      <c r="N24" t="str">
        <f>""</f>
        <v/>
      </c>
      <c r="O24" t="str">
        <f>""</f>
        <v/>
      </c>
      <c r="P24" t="str">
        <f>""</f>
        <v/>
      </c>
      <c r="Q24" t="str">
        <f>""</f>
        <v/>
      </c>
      <c r="R24" t="str">
        <f>""</f>
        <v/>
      </c>
      <c r="S24" t="str">
        <f>"163.1"</f>
        <v>163.1</v>
      </c>
    </row>
    <row r="25" spans="1:19" x14ac:dyDescent="0.25">
      <c r="A25">
        <v>7</v>
      </c>
      <c r="B25" t="str">
        <f>"St. Hilaire, Jacob  (414624)"</f>
        <v>St. Hilaire, Jacob  (414624)</v>
      </c>
      <c r="C25" t="str">
        <f>"51.4"</f>
        <v>51.4</v>
      </c>
      <c r="D25" t="str">
        <f>"51.4"</f>
        <v>51.4</v>
      </c>
      <c r="E25" t="str">
        <f>"19.2"</f>
        <v>19.2</v>
      </c>
      <c r="F25" t="str">
        <f>""</f>
        <v/>
      </c>
      <c r="G25" t="str">
        <f>"20.8"</f>
        <v>20.8</v>
      </c>
      <c r="H25" t="str">
        <f>""</f>
        <v/>
      </c>
      <c r="I25" t="str">
        <f>""</f>
        <v/>
      </c>
      <c r="J25" t="str">
        <f>""</f>
        <v/>
      </c>
      <c r="K25" t="str">
        <f>""</f>
        <v/>
      </c>
      <c r="L25" t="str">
        <f>""</f>
        <v/>
      </c>
      <c r="M25" t="str">
        <f>""</f>
        <v/>
      </c>
      <c r="N25" t="str">
        <f>""</f>
        <v/>
      </c>
      <c r="O25" t="str">
        <f>""</f>
        <v/>
      </c>
      <c r="P25" t="str">
        <f>""</f>
        <v/>
      </c>
      <c r="Q25" t="str">
        <f>""</f>
        <v/>
      </c>
      <c r="R25" t="str">
        <f>""</f>
        <v/>
      </c>
      <c r="S25" t="str">
        <f>"142.8"</f>
        <v>142.8</v>
      </c>
    </row>
    <row r="26" spans="1:19" x14ac:dyDescent="0.25">
      <c r="A26">
        <v>8</v>
      </c>
      <c r="B26" t="str">
        <f>"Jenkins, Hunter (434902)"</f>
        <v>Jenkins, Hunter (434902)</v>
      </c>
      <c r="C26" t="str">
        <f>"49.0"</f>
        <v>49.0</v>
      </c>
      <c r="D26" t="str">
        <f>"52.1"</f>
        <v>52.1</v>
      </c>
      <c r="E26" t="str">
        <f>"20.5"</f>
        <v>20.5</v>
      </c>
      <c r="F26" t="str">
        <f>""</f>
        <v/>
      </c>
      <c r="G26" t="str">
        <f>""</f>
        <v/>
      </c>
      <c r="H26" t="str">
        <f>""</f>
        <v/>
      </c>
      <c r="I26" t="str">
        <f>""</f>
        <v/>
      </c>
      <c r="J26" t="str">
        <f>""</f>
        <v/>
      </c>
      <c r="K26" t="str">
        <f>""</f>
        <v/>
      </c>
      <c r="L26" t="str">
        <f>""</f>
        <v/>
      </c>
      <c r="M26" t="str">
        <f>""</f>
        <v/>
      </c>
      <c r="N26" t="str">
        <f>""</f>
        <v/>
      </c>
      <c r="O26" t="str">
        <f>""</f>
        <v/>
      </c>
      <c r="P26" t="str">
        <f>""</f>
        <v/>
      </c>
      <c r="Q26" t="str">
        <f>""</f>
        <v/>
      </c>
      <c r="R26" t="str">
        <f>""</f>
        <v/>
      </c>
      <c r="S26" t="str">
        <f>"121.6"</f>
        <v>121.6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AAD81-68D5-4BBC-B67B-3544F36EF2A9}">
  <dimension ref="A1:K15"/>
  <sheetViews>
    <sheetView workbookViewId="0">
      <selection activeCell="B26" sqref="B26"/>
    </sheetView>
  </sheetViews>
  <sheetFormatPr defaultRowHeight="15" x14ac:dyDescent="0.25"/>
  <cols>
    <col min="1" max="1" width="42.7109375" bestFit="1" customWidth="1"/>
    <col min="2" max="2" width="33.85546875" bestFit="1" customWidth="1"/>
  </cols>
  <sheetData>
    <row r="1" spans="1:11" x14ac:dyDescent="0.25">
      <c r="A1" t="str">
        <f>"2025 USA Shooting Winter Air Gun - Camp Perry"</f>
        <v>2025 USA Shooting Winter Air Gun - Camp Perry</v>
      </c>
    </row>
    <row r="2" spans="1:11" x14ac:dyDescent="0.25">
      <c r="A2" t="str">
        <f>"R3 - Mixed 10m Air Rifle Prone SH1"</f>
        <v>R3 - Mixed 10m Air Rifle Prone SH1</v>
      </c>
    </row>
    <row r="3" spans="1:11" x14ac:dyDescent="0.25">
      <c r="A3" t="str">
        <f>""</f>
        <v/>
      </c>
    </row>
    <row r="4" spans="1:11" x14ac:dyDescent="0.25">
      <c r="A4" t="str">
        <f>"Place"</f>
        <v>Place</v>
      </c>
      <c r="B4" t="str">
        <f>"Competitor (Comp Num)"</f>
        <v>Competitor (Comp Num)</v>
      </c>
      <c r="C4" t="str">
        <f>"D1 60 Prone"</f>
        <v>D1 60 Prone</v>
      </c>
      <c r="D4" t="str">
        <f>"D2 60 Prone"</f>
        <v>D2 60 Prone</v>
      </c>
      <c r="E4" t="str">
        <f>"Aggregate"</f>
        <v>Aggregate</v>
      </c>
    </row>
    <row r="5" spans="1:11" x14ac:dyDescent="0.25">
      <c r="A5">
        <v>1</v>
      </c>
      <c r="B5" t="str">
        <f>"Arbino, John, MAJ, USA (400406)"</f>
        <v>Arbino, John, MAJ, USA (400406)</v>
      </c>
      <c r="C5" t="str">
        <f>"625.8"</f>
        <v>625.8</v>
      </c>
      <c r="D5" t="str">
        <f>"624.1"</f>
        <v>624.1</v>
      </c>
      <c r="E5" t="str">
        <f>"1,249.9"</f>
        <v>1,249.9</v>
      </c>
    </row>
    <row r="6" spans="1:11" x14ac:dyDescent="0.25">
      <c r="A6">
        <v>2</v>
      </c>
      <c r="B6" t="str">
        <f>"Markland, Lisa, SSgt, USAFR (127434)"</f>
        <v>Markland, Lisa, SSgt, USAFR (127434)</v>
      </c>
      <c r="C6" t="str">
        <f>"611.8"</f>
        <v>611.8</v>
      </c>
      <c r="D6" t="str">
        <f>"618.7"</f>
        <v>618.7</v>
      </c>
      <c r="E6" t="str">
        <f>"1,230.5"</f>
        <v>1,230.5</v>
      </c>
    </row>
    <row r="10" spans="1:11" x14ac:dyDescent="0.25">
      <c r="A10" t="str">
        <f>"2025 USA Shooting Winter Air Gun - Camp Perry"</f>
        <v>2025 USA Shooting Winter Air Gun - Camp Perry</v>
      </c>
    </row>
    <row r="11" spans="1:11" x14ac:dyDescent="0.25">
      <c r="A11" t="str">
        <f>"R5 - Mixed 10m Air Rifle Prone SH2"</f>
        <v>R5 - Mixed 10m Air Rifle Prone SH2</v>
      </c>
    </row>
    <row r="12" spans="1:11" x14ac:dyDescent="0.25">
      <c r="A12" t="str">
        <f>""</f>
        <v/>
      </c>
    </row>
    <row r="13" spans="1:11" x14ac:dyDescent="0.25">
      <c r="A13" t="str">
        <f>"Place"</f>
        <v>Place</v>
      </c>
      <c r="B13" t="str">
        <f>"Competitor (Comp Num)"</f>
        <v>Competitor (Comp Num)</v>
      </c>
      <c r="C13" t="str">
        <f>"Stage"</f>
        <v>Stage</v>
      </c>
      <c r="D13">
        <v>1</v>
      </c>
      <c r="E13">
        <v>2</v>
      </c>
      <c r="F13">
        <v>3</v>
      </c>
      <c r="G13">
        <v>4</v>
      </c>
      <c r="H13">
        <v>5</v>
      </c>
      <c r="I13">
        <v>6</v>
      </c>
      <c r="J13" t="str">
        <f>"Total"</f>
        <v>Total</v>
      </c>
      <c r="K13" t="str">
        <f>"Qualification"</f>
        <v>Qualification</v>
      </c>
    </row>
    <row r="14" spans="1:11" x14ac:dyDescent="0.25">
      <c r="A14">
        <v>1</v>
      </c>
      <c r="B14" t="str">
        <f>"Tadpatri, Haricharan (400435)"</f>
        <v>Tadpatri, Haricharan (400435)</v>
      </c>
      <c r="C14" t="str">
        <f>" Day 1"</f>
        <v xml:space="preserve"> Day 1</v>
      </c>
      <c r="D14" t="str">
        <f>"100.3"</f>
        <v>100.3</v>
      </c>
      <c r="E14" t="str">
        <f>"103.5"</f>
        <v>103.5</v>
      </c>
      <c r="F14" t="str">
        <f>"103.2"</f>
        <v>103.2</v>
      </c>
      <c r="G14" t="str">
        <f>"101.2"</f>
        <v>101.2</v>
      </c>
      <c r="H14" t="str">
        <f>"103.2"</f>
        <v>103.2</v>
      </c>
      <c r="I14" t="str">
        <f>"104.4"</f>
        <v>104.4</v>
      </c>
      <c r="J14" t="str">
        <f>"615.8"</f>
        <v>615.8</v>
      </c>
      <c r="K14" t="str">
        <f>""</f>
        <v/>
      </c>
    </row>
    <row r="15" spans="1:11" x14ac:dyDescent="0.25">
      <c r="A15" t="str">
        <f>""</f>
        <v/>
      </c>
      <c r="B15" t="str">
        <f>""</f>
        <v/>
      </c>
      <c r="C15" t="str">
        <f>" Day 2"</f>
        <v xml:space="preserve"> Day 2</v>
      </c>
      <c r="D15" t="str">
        <f>"104.4"</f>
        <v>104.4</v>
      </c>
      <c r="E15" t="str">
        <f>"103.5"</f>
        <v>103.5</v>
      </c>
      <c r="F15" t="str">
        <f>"102.9"</f>
        <v>102.9</v>
      </c>
      <c r="G15" t="str">
        <f>"104.2"</f>
        <v>104.2</v>
      </c>
      <c r="H15" t="str">
        <f>"104.7"</f>
        <v>104.7</v>
      </c>
      <c r="I15" t="str">
        <f>"103.4"</f>
        <v>103.4</v>
      </c>
      <c r="J15" t="str">
        <f>"623.1"</f>
        <v>623.1</v>
      </c>
      <c r="K15" t="str">
        <f>"1,238.9"</f>
        <v>1,238.9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9DBFF-0424-4E1C-B7AC-4F41B290E25A}">
  <dimension ref="A1:F36"/>
  <sheetViews>
    <sheetView workbookViewId="0">
      <selection activeCell="M31" sqref="M30:M31"/>
    </sheetView>
  </sheetViews>
  <sheetFormatPr defaultRowHeight="15" x14ac:dyDescent="0.25"/>
  <cols>
    <col min="1" max="1" width="42.7109375" bestFit="1" customWidth="1"/>
    <col min="2" max="2" width="35.140625" bestFit="1" customWidth="1"/>
    <col min="3" max="3" width="18.42578125" bestFit="1" customWidth="1"/>
  </cols>
  <sheetData>
    <row r="1" spans="1:6" x14ac:dyDescent="0.25">
      <c r="A1" t="str">
        <f>"2025 USA Shooting Winter Air Gun - Camp Perry"</f>
        <v>2025 USA Shooting Winter Air Gun - Camp Perry</v>
      </c>
    </row>
    <row r="2" spans="1:6" x14ac:dyDescent="0.25">
      <c r="A2" t="str">
        <f>"Open Qualification - Women"</f>
        <v>Open Qualification - Women</v>
      </c>
    </row>
    <row r="3" spans="1:6" x14ac:dyDescent="0.25">
      <c r="A3" t="str">
        <f>""</f>
        <v/>
      </c>
    </row>
    <row r="4" spans="1:6" x14ac:dyDescent="0.25">
      <c r="A4" t="str">
        <f>"Place"</f>
        <v>Place</v>
      </c>
      <c r="B4" t="str">
        <f>"Competitor (Comp Num)"</f>
        <v>Competitor (Comp Num)</v>
      </c>
      <c r="C4" t="str">
        <f>"Hometown"</f>
        <v>Hometown</v>
      </c>
      <c r="D4" t="str">
        <f>"D1 60 P"</f>
        <v>D1 60 P</v>
      </c>
      <c r="E4" t="str">
        <f>"D2 60 Pistol"</f>
        <v>D2 60 Pistol</v>
      </c>
      <c r="F4" t="str">
        <f>"Aggregate"</f>
        <v>Aggregate</v>
      </c>
    </row>
    <row r="5" spans="1:6" x14ac:dyDescent="0.25">
      <c r="A5">
        <v>1</v>
      </c>
      <c r="B5" t="str">
        <f>"Sanghera, Suman (346247)"</f>
        <v>Sanghera, Suman (346247)</v>
      </c>
      <c r="C5" t="str">
        <f>"Great Falls, VA"</f>
        <v>Great Falls, VA</v>
      </c>
      <c r="D5" t="str">
        <f>"576 - 25"</f>
        <v>576 - 25</v>
      </c>
      <c r="E5" t="str">
        <f>"581 - 13"</f>
        <v>581 - 13</v>
      </c>
      <c r="F5" t="str">
        <f>"1,157 - 38"</f>
        <v>1,157 - 38</v>
      </c>
    </row>
    <row r="6" spans="1:6" x14ac:dyDescent="0.25">
      <c r="A6">
        <v>2</v>
      </c>
      <c r="B6" t="str">
        <f>"Tobar Prado, Nathalia (283915)"</f>
        <v>Tobar Prado, Nathalia (283915)</v>
      </c>
      <c r="C6" t="str">
        <f>"Anniston, AL"</f>
        <v>Anniston, AL</v>
      </c>
      <c r="D6" t="str">
        <f>"571 - 19"</f>
        <v>571 - 19</v>
      </c>
      <c r="E6" t="str">
        <f>"575 - 20"</f>
        <v>575 - 20</v>
      </c>
      <c r="F6" t="str">
        <f>"1,146 - 39"</f>
        <v>1,146 - 39</v>
      </c>
    </row>
    <row r="7" spans="1:6" x14ac:dyDescent="0.25">
      <c r="A7">
        <v>3</v>
      </c>
      <c r="B7" t="str">
        <f>"Allan, Eva (487564)"</f>
        <v>Allan, Eva (487564)</v>
      </c>
      <c r="C7" t="str">
        <f>"Mooresville, NC"</f>
        <v>Mooresville, NC</v>
      </c>
      <c r="D7" t="str">
        <f>"564 - 11"</f>
        <v>564 - 11</v>
      </c>
      <c r="E7" t="str">
        <f>"563 - 11"</f>
        <v>563 - 11</v>
      </c>
      <c r="F7" t="str">
        <f>"1,127 - 22"</f>
        <v>1,127 - 22</v>
      </c>
    </row>
    <row r="8" spans="1:6" x14ac:dyDescent="0.25">
      <c r="A8">
        <v>4</v>
      </c>
      <c r="B8" t="str">
        <f>"Uptagrafft, Sandra, CW2, USAR (92472)"</f>
        <v>Uptagrafft, Sandra, CW2, USAR (92472)</v>
      </c>
      <c r="C8" t="str">
        <f>"Phenix City, AL"</f>
        <v>Phenix City, AL</v>
      </c>
      <c r="D8" t="str">
        <f>"564 - 18"</f>
        <v>564 - 18</v>
      </c>
      <c r="E8" t="str">
        <f>"553 - 8"</f>
        <v>553 - 8</v>
      </c>
      <c r="F8" t="str">
        <f>"1,117 - 26"</f>
        <v>1,117 - 26</v>
      </c>
    </row>
    <row r="9" spans="1:6" x14ac:dyDescent="0.25">
      <c r="A9">
        <v>5</v>
      </c>
      <c r="B9" t="str">
        <f>"Korkhin, Ada (327592)"</f>
        <v>Korkhin, Ada (327592)</v>
      </c>
      <c r="C9" t="str">
        <f>"BROOKLINE, MA"</f>
        <v>BROOKLINE, MA</v>
      </c>
      <c r="D9" t="str">
        <f>"558 - 14"</f>
        <v>558 - 14</v>
      </c>
      <c r="E9" t="str">
        <f>"556 - 9"</f>
        <v>556 - 9</v>
      </c>
      <c r="F9" t="str">
        <f>"1,114 - 23"</f>
        <v>1,114 - 23</v>
      </c>
    </row>
    <row r="10" spans="1:6" x14ac:dyDescent="0.25">
      <c r="A10">
        <v>6</v>
      </c>
      <c r="B10" t="str">
        <f>"Ehmer, Kara (144106)"</f>
        <v>Ehmer, Kara (144106)</v>
      </c>
      <c r="C10" t="str">
        <f>"Atlanta, GA"</f>
        <v>Atlanta, GA</v>
      </c>
      <c r="D10" t="str">
        <f>"552 - 10"</f>
        <v>552 - 10</v>
      </c>
      <c r="E10" t="str">
        <f>"556 - 11"</f>
        <v>556 - 11</v>
      </c>
      <c r="F10" t="str">
        <f>"1,108 - 21"</f>
        <v>1,108 - 21</v>
      </c>
    </row>
    <row r="11" spans="1:6" x14ac:dyDescent="0.25">
      <c r="A11">
        <v>7</v>
      </c>
      <c r="B11" t="str">
        <f>"Tairney, Hayden (457320)"</f>
        <v>Tairney, Hayden (457320)</v>
      </c>
      <c r="C11" t="str">
        <f>"Elizabeth, CO"</f>
        <v>Elizabeth, CO</v>
      </c>
      <c r="D11" t="str">
        <f>"550 - 8"</f>
        <v>550 - 8</v>
      </c>
      <c r="E11" t="str">
        <f>"556 - 12"</f>
        <v>556 - 12</v>
      </c>
      <c r="F11" t="str">
        <f>"1,106 - 20"</f>
        <v>1,106 - 20</v>
      </c>
    </row>
    <row r="12" spans="1:6" x14ac:dyDescent="0.25">
      <c r="A12">
        <v>8</v>
      </c>
      <c r="B12" t="str">
        <f>"Ganstooj, Maral (431669)"</f>
        <v>Ganstooj, Maral (431669)</v>
      </c>
      <c r="C12" t="str">
        <f>"Schaumburg, IL"</f>
        <v>Schaumburg, IL</v>
      </c>
      <c r="D12" t="str">
        <f>"550 - 8"</f>
        <v>550 - 8</v>
      </c>
      <c r="E12" t="str">
        <f>"550 - 9"</f>
        <v>550 - 9</v>
      </c>
      <c r="F12" t="str">
        <f>"1,100 - 17"</f>
        <v>1,100 - 17</v>
      </c>
    </row>
    <row r="13" spans="1:6" x14ac:dyDescent="0.25">
      <c r="A13">
        <v>9</v>
      </c>
      <c r="B13" t="str">
        <f>"Deokule, Ankita (400381)"</f>
        <v>Deokule, Ankita (400381)</v>
      </c>
      <c r="C13" t="str">
        <f>"Lutz, FL"</f>
        <v>Lutz, FL</v>
      </c>
      <c r="D13" t="str">
        <f>"545 - 8"</f>
        <v>545 - 8</v>
      </c>
      <c r="E13" t="str">
        <f>"551 - 9"</f>
        <v>551 - 9</v>
      </c>
      <c r="F13" t="str">
        <f>"1,096 - 17"</f>
        <v>1,096 - 17</v>
      </c>
    </row>
    <row r="14" spans="1:6" x14ac:dyDescent="0.25">
      <c r="A14">
        <v>10</v>
      </c>
      <c r="B14" t="str">
        <f>"Bethi, Vaishnavi (494054)"</f>
        <v>Bethi, Vaishnavi (494054)</v>
      </c>
      <c r="C14" t="str">
        <f>"Clarksville, TE"</f>
        <v>Clarksville, TE</v>
      </c>
      <c r="D14" t="str">
        <f>"550 - 9"</f>
        <v>550 - 9</v>
      </c>
      <c r="E14" t="str">
        <f>"540 - 7"</f>
        <v>540 - 7</v>
      </c>
      <c r="F14" t="str">
        <f>"1,090 - 16"</f>
        <v>1,090 - 16</v>
      </c>
    </row>
    <row r="15" spans="1:6" x14ac:dyDescent="0.25">
      <c r="A15">
        <v>11</v>
      </c>
      <c r="B15" t="str">
        <f>"Deokule, Anjali (400379)"</f>
        <v>Deokule, Anjali (400379)</v>
      </c>
      <c r="C15" t="str">
        <f>"Lutz, FL"</f>
        <v>Lutz, FL</v>
      </c>
      <c r="D15" t="str">
        <f>"551 - 8"</f>
        <v>551 - 8</v>
      </c>
      <c r="E15" t="str">
        <f>"535 - 3"</f>
        <v>535 - 3</v>
      </c>
      <c r="F15" t="str">
        <f>"1,086 - 11"</f>
        <v>1,086 - 11</v>
      </c>
    </row>
    <row r="16" spans="1:6" x14ac:dyDescent="0.25">
      <c r="A16">
        <v>12</v>
      </c>
      <c r="B16" t="str">
        <f>"Singh, Saanvi (400475)"</f>
        <v>Singh, Saanvi (400475)</v>
      </c>
      <c r="C16" t="str">
        <f>"Schaumburg, IL"</f>
        <v>Schaumburg, IL</v>
      </c>
      <c r="D16" t="str">
        <f>"540 - 3"</f>
        <v>540 - 3</v>
      </c>
      <c r="E16" t="str">
        <f>"542 - 10"</f>
        <v>542 - 10</v>
      </c>
      <c r="F16" t="str">
        <f>"1,082 - 13"</f>
        <v>1,082 - 13</v>
      </c>
    </row>
    <row r="17" spans="1:6" x14ac:dyDescent="0.25">
      <c r="A17">
        <v>13</v>
      </c>
      <c r="B17" t="str">
        <f>"Salian, Riya (429115)"</f>
        <v>Salian, Riya (429115)</v>
      </c>
      <c r="C17" t="str">
        <f>"North Attleboro, MA"</f>
        <v>North Attleboro, MA</v>
      </c>
      <c r="D17" t="str">
        <f>"536 - 6"</f>
        <v>536 - 6</v>
      </c>
      <c r="E17" t="str">
        <f>"541 - 5"</f>
        <v>541 - 5</v>
      </c>
      <c r="F17" t="str">
        <f>"1,077 - 11"</f>
        <v>1,077 - 11</v>
      </c>
    </row>
    <row r="18" spans="1:6" x14ac:dyDescent="0.25">
      <c r="A18">
        <v>14</v>
      </c>
      <c r="B18" t="str">
        <f>"Eddy, Georgia (377825)"</f>
        <v>Eddy, Georgia (377825)</v>
      </c>
      <c r="C18" t="str">
        <f>"College Station , TX"</f>
        <v>College Station , TX</v>
      </c>
      <c r="D18" t="str">
        <f>"528 - 4"</f>
        <v>528 - 4</v>
      </c>
      <c r="E18" t="str">
        <f>"548 - 5"</f>
        <v>548 - 5</v>
      </c>
      <c r="F18" t="str">
        <f>"1,076 - 9"</f>
        <v>1,076 - 9</v>
      </c>
    </row>
    <row r="19" spans="1:6" x14ac:dyDescent="0.25">
      <c r="A19">
        <v>15</v>
      </c>
      <c r="B19" t="str">
        <f>"Patrick, Katelin (492419)"</f>
        <v>Patrick, Katelin (492419)</v>
      </c>
      <c r="C19" t="str">
        <f>"Vinton, Va"</f>
        <v>Vinton, Va</v>
      </c>
      <c r="D19" t="str">
        <f>"539 - 8"</f>
        <v>539 - 8</v>
      </c>
      <c r="E19" t="str">
        <f>"533 - 7"</f>
        <v>533 - 7</v>
      </c>
      <c r="F19" t="str">
        <f>"1,072 - 15"</f>
        <v>1,072 - 15</v>
      </c>
    </row>
    <row r="20" spans="1:6" x14ac:dyDescent="0.25">
      <c r="A20">
        <v>16</v>
      </c>
      <c r="B20" t="str">
        <f>"Chanda, Mehr (346156)"</f>
        <v>Chanda, Mehr (346156)</v>
      </c>
      <c r="C20" t="str">
        <f>"Coppell, TX"</f>
        <v>Coppell, TX</v>
      </c>
      <c r="D20" t="str">
        <f>"529 - 9"</f>
        <v>529 - 9</v>
      </c>
      <c r="E20" t="str">
        <f>"538 - 6"</f>
        <v>538 - 6</v>
      </c>
      <c r="F20" t="str">
        <f>"1,067 - 15"</f>
        <v>1,067 - 15</v>
      </c>
    </row>
    <row r="21" spans="1:6" x14ac:dyDescent="0.25">
      <c r="A21">
        <v>17</v>
      </c>
      <c r="B21" t="str">
        <f>"Mueller, Leah (400392)"</f>
        <v>Mueller, Leah (400392)</v>
      </c>
      <c r="C21" t="str">
        <f>"Iola, KS"</f>
        <v>Iola, KS</v>
      </c>
      <c r="D21" t="str">
        <f>"527 - 5"</f>
        <v>527 - 5</v>
      </c>
      <c r="E21" t="str">
        <f>"539 - 8"</f>
        <v>539 - 8</v>
      </c>
      <c r="F21" t="str">
        <f>"1,066 - 13"</f>
        <v>1,066 - 13</v>
      </c>
    </row>
    <row r="22" spans="1:6" x14ac:dyDescent="0.25">
      <c r="A22">
        <v>18</v>
      </c>
      <c r="B22" t="str">
        <f>"Li, Sophia (487203)"</f>
        <v>Li, Sophia (487203)</v>
      </c>
      <c r="C22" t="str">
        <f>"Poolesville, MD"</f>
        <v>Poolesville, MD</v>
      </c>
      <c r="D22" t="str">
        <f>"537 - 9"</f>
        <v>537 - 9</v>
      </c>
      <c r="E22" t="str">
        <f>"524 - 10"</f>
        <v>524 - 10</v>
      </c>
      <c r="F22" t="str">
        <f>"1,061 - 19"</f>
        <v>1,061 - 19</v>
      </c>
    </row>
    <row r="23" spans="1:6" x14ac:dyDescent="0.25">
      <c r="A23">
        <v>19</v>
      </c>
      <c r="B23" t="str">
        <f>"Miao, Melissa (502746)"</f>
        <v>Miao, Melissa (502746)</v>
      </c>
      <c r="C23" t="str">
        <f>"Franklin Lakes, NJ"</f>
        <v>Franklin Lakes, NJ</v>
      </c>
      <c r="D23" t="str">
        <f>"531 - 6"</f>
        <v>531 - 6</v>
      </c>
      <c r="E23" t="str">
        <f>"522 - 5"</f>
        <v>522 - 5</v>
      </c>
      <c r="F23" t="str">
        <f>"1,053 - 11"</f>
        <v>1,053 - 11</v>
      </c>
    </row>
    <row r="24" spans="1:6" x14ac:dyDescent="0.25">
      <c r="A24">
        <v>20</v>
      </c>
      <c r="B24" t="str">
        <f>"Montgomery, Abigail (214758)"</f>
        <v>Montgomery, Abigail (214758)</v>
      </c>
      <c r="C24" t="str">
        <f>"Gibsonburg, OH"</f>
        <v>Gibsonburg, OH</v>
      </c>
      <c r="D24" t="str">
        <f>"524 - 5"</f>
        <v>524 - 5</v>
      </c>
      <c r="E24" t="str">
        <f>"528 - 8"</f>
        <v>528 - 8</v>
      </c>
      <c r="F24" t="str">
        <f>"1,052 - 13"</f>
        <v>1,052 - 13</v>
      </c>
    </row>
    <row r="25" spans="1:6" x14ac:dyDescent="0.25">
      <c r="A25">
        <v>21</v>
      </c>
      <c r="B25" t="str">
        <f>"Dickey, Ariana (487572)"</f>
        <v>Dickey, Ariana (487572)</v>
      </c>
      <c r="C25" t="str">
        <f>"North Potomac, MD"</f>
        <v>North Potomac, MD</v>
      </c>
      <c r="D25" t="str">
        <f>"519 - 6"</f>
        <v>519 - 6</v>
      </c>
      <c r="E25" t="str">
        <f>"531 - 9"</f>
        <v>531 - 9</v>
      </c>
      <c r="F25" t="str">
        <f>"1,050 - 15"</f>
        <v>1,050 - 15</v>
      </c>
    </row>
    <row r="26" spans="1:6" x14ac:dyDescent="0.25">
      <c r="A26">
        <v>22</v>
      </c>
      <c r="B26" t="str">
        <f>"Walp, Sophia (440745)"</f>
        <v>Walp, Sophia (440745)</v>
      </c>
      <c r="C26" t="str">
        <f>"Brecksville, OH"</f>
        <v>Brecksville, OH</v>
      </c>
      <c r="D26" t="str">
        <f>"516 - 7"</f>
        <v>516 - 7</v>
      </c>
      <c r="E26" t="str">
        <f>"512 - 3"</f>
        <v>512 - 3</v>
      </c>
      <c r="F26" t="str">
        <f>"1,028 - 10"</f>
        <v>1,028 - 10</v>
      </c>
    </row>
    <row r="27" spans="1:6" x14ac:dyDescent="0.25">
      <c r="A27">
        <v>23</v>
      </c>
      <c r="B27" t="str">
        <f>"Rangila, Ariyana (494421)"</f>
        <v>Rangila, Ariyana (494421)</v>
      </c>
      <c r="C27" t="str">
        <f>"Livingston, NJ"</f>
        <v>Livingston, NJ</v>
      </c>
      <c r="D27" t="str">
        <f>"502 - 4"</f>
        <v>502 - 4</v>
      </c>
      <c r="E27" t="str">
        <f>"507 - 5"</f>
        <v>507 - 5</v>
      </c>
      <c r="F27" t="str">
        <f>"1,009 - 9"</f>
        <v>1,009 - 9</v>
      </c>
    </row>
    <row r="28" spans="1:6" x14ac:dyDescent="0.25">
      <c r="A28">
        <v>24</v>
      </c>
      <c r="B28" t="str">
        <f>"Kanchanawanchai, Tanisa (489258)"</f>
        <v>Kanchanawanchai, Tanisa (489258)</v>
      </c>
      <c r="C28" t="str">
        <f>"Springfield, VA"</f>
        <v>Springfield, VA</v>
      </c>
      <c r="D28" t="str">
        <f>"489 - 0"</f>
        <v>489 - 0</v>
      </c>
      <c r="E28" t="str">
        <f>"520 - 6"</f>
        <v>520 - 6</v>
      </c>
      <c r="F28" t="str">
        <f>"1,009 - 6"</f>
        <v>1,009 - 6</v>
      </c>
    </row>
    <row r="29" spans="1:6" x14ac:dyDescent="0.25">
      <c r="A29">
        <v>25</v>
      </c>
      <c r="B29" t="str">
        <f>"Palacio, Jamie (492423)"</f>
        <v>Palacio, Jamie (492423)</v>
      </c>
      <c r="C29" t="str">
        <f>"Bowie, MD"</f>
        <v>Bowie, MD</v>
      </c>
      <c r="D29" t="str">
        <f>"513 - 2"</f>
        <v>513 - 2</v>
      </c>
      <c r="E29" t="str">
        <f>"495 - 4"</f>
        <v>495 - 4</v>
      </c>
      <c r="F29" t="str">
        <f>"1,008 - 6"</f>
        <v>1,008 - 6</v>
      </c>
    </row>
    <row r="30" spans="1:6" x14ac:dyDescent="0.25">
      <c r="A30">
        <v>26</v>
      </c>
      <c r="B30" t="str">
        <f>"Tiemeyer, Alivia (512665)"</f>
        <v>Tiemeyer, Alivia (512665)</v>
      </c>
      <c r="C30" t="str">
        <f>"Meadville, MO"</f>
        <v>Meadville, MO</v>
      </c>
      <c r="D30" t="str">
        <f>"505 - 4"</f>
        <v>505 - 4</v>
      </c>
      <c r="E30" t="str">
        <f>"496 - 3"</f>
        <v>496 - 3</v>
      </c>
      <c r="F30" t="str">
        <f>"1,001 - 7"</f>
        <v>1,001 - 7</v>
      </c>
    </row>
    <row r="31" spans="1:6" x14ac:dyDescent="0.25">
      <c r="A31">
        <v>27</v>
      </c>
      <c r="B31" t="str">
        <f>"Miller, Catherine (487566)"</f>
        <v>Miller, Catherine (487566)</v>
      </c>
      <c r="C31" t="str">
        <f>"Darien, CT"</f>
        <v>Darien, CT</v>
      </c>
      <c r="D31" t="str">
        <f>"477 - 2"</f>
        <v>477 - 2</v>
      </c>
      <c r="E31" t="str">
        <f>"495 - 4"</f>
        <v>495 - 4</v>
      </c>
      <c r="F31" t="str">
        <f>"972 - 6"</f>
        <v>972 - 6</v>
      </c>
    </row>
    <row r="32" spans="1:6" x14ac:dyDescent="0.25">
      <c r="A32">
        <v>28</v>
      </c>
      <c r="B32" t="str">
        <f>"Trombley, Amy, LTC, USA (189378)"</f>
        <v>Trombley, Amy, LTC, USA (189378)</v>
      </c>
      <c r="C32" t="str">
        <f>"Plymouth, MI"</f>
        <v>Plymouth, MI</v>
      </c>
      <c r="D32" t="str">
        <f>"460 - 0"</f>
        <v>460 - 0</v>
      </c>
      <c r="E32" t="str">
        <f>"503 - 3"</f>
        <v>503 - 3</v>
      </c>
      <c r="F32" t="str">
        <f>"963 - 3"</f>
        <v>963 - 3</v>
      </c>
    </row>
    <row r="33" spans="1:6" x14ac:dyDescent="0.25">
      <c r="A33">
        <v>29</v>
      </c>
      <c r="B33" t="str">
        <f>"Li, Victoria (495113)"</f>
        <v>Li, Victoria (495113)</v>
      </c>
      <c r="C33" t="str">
        <f>"Poolesville, MD"</f>
        <v>Poolesville, MD</v>
      </c>
      <c r="D33" t="str">
        <f>"463 - 3"</f>
        <v>463 - 3</v>
      </c>
      <c r="E33" t="str">
        <f>"467 - 3"</f>
        <v>467 - 3</v>
      </c>
      <c r="F33" t="str">
        <f>"930 - 6"</f>
        <v>930 - 6</v>
      </c>
    </row>
    <row r="34" spans="1:6" x14ac:dyDescent="0.25">
      <c r="A34">
        <v>30</v>
      </c>
      <c r="B34" t="str">
        <f>"Bentley, Monica (482045)"</f>
        <v>Bentley, Monica (482045)</v>
      </c>
      <c r="C34" t="str">
        <f>"Hillsdale, MI"</f>
        <v>Hillsdale, MI</v>
      </c>
      <c r="D34" t="str">
        <f>"462 - 2"</f>
        <v>462 - 2</v>
      </c>
      <c r="E34" t="str">
        <f>"450 - 1"</f>
        <v>450 - 1</v>
      </c>
      <c r="F34" t="str">
        <f>"912 - 3"</f>
        <v>912 - 3</v>
      </c>
    </row>
    <row r="35" spans="1:6" x14ac:dyDescent="0.25">
      <c r="A35">
        <v>31</v>
      </c>
      <c r="B35" t="str">
        <f>"Zob, Valerie (512667)"</f>
        <v>Zob, Valerie (512667)</v>
      </c>
      <c r="C35" t="str">
        <f>"Hoffman Estates, IL"</f>
        <v>Hoffman Estates, IL</v>
      </c>
      <c r="D35" t="str">
        <f>"438 - 1"</f>
        <v>438 - 1</v>
      </c>
      <c r="E35" t="str">
        <f>"440 - 4"</f>
        <v>440 - 4</v>
      </c>
      <c r="F35" t="str">
        <f>"878 - 5"</f>
        <v>878 - 5</v>
      </c>
    </row>
    <row r="36" spans="1:6" x14ac:dyDescent="0.25">
      <c r="A36">
        <v>32</v>
      </c>
      <c r="B36" t="str">
        <f>"Slosnerick, Jackie (95168)"</f>
        <v>Slosnerick, Jackie (95168)</v>
      </c>
      <c r="C36" t="str">
        <f>"Oak Harbor, OH"</f>
        <v>Oak Harbor, OH</v>
      </c>
      <c r="D36" t="str">
        <f>"410 - 1"</f>
        <v>410 - 1</v>
      </c>
      <c r="E36" t="str">
        <f>"467 - 3"</f>
        <v>467 - 3</v>
      </c>
      <c r="F36" t="str">
        <f>"877 - 4"</f>
        <v>877 - 4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DABAE-F2B0-4660-8CC7-32839BC4B02C}">
  <dimension ref="A1:T26"/>
  <sheetViews>
    <sheetView workbookViewId="0">
      <selection activeCell="A15" sqref="A15:S27"/>
    </sheetView>
  </sheetViews>
  <sheetFormatPr defaultRowHeight="15" x14ac:dyDescent="0.25"/>
  <cols>
    <col min="1" max="1" width="42.7109375" bestFit="1" customWidth="1"/>
    <col min="2" max="2" width="35.140625" bestFit="1" customWidth="1"/>
    <col min="3" max="3" width="25.7109375" bestFit="1" customWidth="1"/>
  </cols>
  <sheetData>
    <row r="1" spans="1:20" x14ac:dyDescent="0.25">
      <c r="A1" t="str">
        <f>"2025 USA Shooting Winter Air Gun - Camp Perry"</f>
        <v>2025 USA Shooting Winter Air Gun - Camp Perry</v>
      </c>
    </row>
    <row r="2" spans="1:20" x14ac:dyDescent="0.25">
      <c r="A2" t="str">
        <f>"Open Women"</f>
        <v>Open Women</v>
      </c>
    </row>
    <row r="3" spans="1:20" x14ac:dyDescent="0.25">
      <c r="A3" t="str">
        <f>""</f>
        <v/>
      </c>
    </row>
    <row r="4" spans="1:20" x14ac:dyDescent="0.25">
      <c r="A4" t="str">
        <f>"Place"</f>
        <v>Place</v>
      </c>
      <c r="B4" t="str">
        <f>"Competitor (Comp Num)"</f>
        <v>Competitor (Comp Num)</v>
      </c>
      <c r="C4" t="str">
        <f>"Hometown"</f>
        <v>Hometown</v>
      </c>
      <c r="D4" t="str">
        <f>"ISSF Final, First 5 Shot Stage"</f>
        <v>ISSF Final, First 5 Shot Stage</v>
      </c>
      <c r="E4" t="str">
        <f>"ISSF Final, Second 5 Shot"</f>
        <v>ISSF Final, Second 5 Shot</v>
      </c>
      <c r="F4" t="str">
        <f>"ISSF Final, First 2 Shot"</f>
        <v>ISSF Final, First 2 Shot</v>
      </c>
      <c r="G4" t="str">
        <f>"ISSF Final, Shootoff after F3"</f>
        <v>ISSF Final, Shootoff after F3</v>
      </c>
      <c r="H4" t="str">
        <f>"ISSF Final, Second 2 Shot"</f>
        <v>ISSF Final, Second 2 Shot</v>
      </c>
      <c r="I4" t="str">
        <f>"ISSF Final, Shootoff after F4"</f>
        <v>ISSF Final, Shootoff after F4</v>
      </c>
      <c r="J4" t="str">
        <f>"ISSF Final, Third 2 Shot"</f>
        <v>ISSF Final, Third 2 Shot</v>
      </c>
      <c r="K4" t="str">
        <f>"ISSF Final, Shootoff after F5"</f>
        <v>ISSF Final, Shootoff after F5</v>
      </c>
      <c r="L4" t="str">
        <f>"ISSF Final, Fourth 2 Shot"</f>
        <v>ISSF Final, Fourth 2 Shot</v>
      </c>
      <c r="M4" t="str">
        <f>"ISSF Final, Shootoff after F6"</f>
        <v>ISSF Final, Shootoff after F6</v>
      </c>
      <c r="N4" t="str">
        <f>"ISSF Final, Fifth 2 Shot"</f>
        <v>ISSF Final, Fifth 2 Shot</v>
      </c>
      <c r="O4" t="str">
        <f>"ISSF Final, Shootoff after F7"</f>
        <v>ISSF Final, Shootoff after F7</v>
      </c>
      <c r="P4" t="str">
        <f>"ISSF Final, Sixth 2 Shot"</f>
        <v>ISSF Final, Sixth 2 Shot</v>
      </c>
      <c r="Q4" t="str">
        <f>"ISSF Final, Shootoff after F8"</f>
        <v>ISSF Final, Shootoff after F8</v>
      </c>
      <c r="R4" t="str">
        <f>"ISSF Final, Seventh 2 Shot"</f>
        <v>ISSF Final, Seventh 2 Shot</v>
      </c>
      <c r="S4" t="str">
        <f>"ISSF Final, Shootoff after F9"</f>
        <v>ISSF Final, Shootoff after F9</v>
      </c>
      <c r="T4" t="str">
        <f>"Aggregate"</f>
        <v>Aggregate</v>
      </c>
    </row>
    <row r="5" spans="1:20" x14ac:dyDescent="0.25">
      <c r="A5">
        <v>1</v>
      </c>
      <c r="B5" t="str">
        <f>"Sanghera, Suman (346247)"</f>
        <v>Sanghera, Suman (346247)</v>
      </c>
      <c r="C5" t="str">
        <f>"Great Falls, VA"</f>
        <v>Great Falls, VA</v>
      </c>
      <c r="D5" t="str">
        <f>"50.3"</f>
        <v>50.3</v>
      </c>
      <c r="E5" t="str">
        <f>"51.8"</f>
        <v>51.8</v>
      </c>
      <c r="F5" t="str">
        <f>"19.0"</f>
        <v>19.0</v>
      </c>
      <c r="G5" t="str">
        <f>""</f>
        <v/>
      </c>
      <c r="H5" t="str">
        <f>"18.6"</f>
        <v>18.6</v>
      </c>
      <c r="I5" t="str">
        <f>""</f>
        <v/>
      </c>
      <c r="J5" t="str">
        <f>"19.8"</f>
        <v>19.8</v>
      </c>
      <c r="K5" t="str">
        <f>""</f>
        <v/>
      </c>
      <c r="L5" t="str">
        <f>"20.2"</f>
        <v>20.2</v>
      </c>
      <c r="M5" t="str">
        <f>""</f>
        <v/>
      </c>
      <c r="N5" t="str">
        <f>"21.1"</f>
        <v>21.1</v>
      </c>
      <c r="O5" t="str">
        <f>""</f>
        <v/>
      </c>
      <c r="P5" t="str">
        <f>"19.5"</f>
        <v>19.5</v>
      </c>
      <c r="Q5" t="str">
        <f>""</f>
        <v/>
      </c>
      <c r="R5" t="str">
        <f>"20.8"</f>
        <v>20.8</v>
      </c>
      <c r="S5" t="str">
        <f>""</f>
        <v/>
      </c>
      <c r="T5" t="str">
        <f>"241.1"</f>
        <v>241.1</v>
      </c>
    </row>
    <row r="6" spans="1:20" x14ac:dyDescent="0.25">
      <c r="A6">
        <v>2</v>
      </c>
      <c r="B6" t="str">
        <f>"Tobar Prado, Nathalia (283915)"</f>
        <v>Tobar Prado, Nathalia (283915)</v>
      </c>
      <c r="C6" t="str">
        <f>"Anniston, AL"</f>
        <v>Anniston, AL</v>
      </c>
      <c r="D6" t="str">
        <f>"50.6"</f>
        <v>50.6</v>
      </c>
      <c r="E6" t="str">
        <f>"49.3"</f>
        <v>49.3</v>
      </c>
      <c r="F6" t="str">
        <f>"19.8"</f>
        <v>19.8</v>
      </c>
      <c r="G6" t="str">
        <f>""</f>
        <v/>
      </c>
      <c r="H6" t="str">
        <f>"19.2"</f>
        <v>19.2</v>
      </c>
      <c r="I6" t="str">
        <f>""</f>
        <v/>
      </c>
      <c r="J6" t="str">
        <f>"19.9"</f>
        <v>19.9</v>
      </c>
      <c r="K6" t="str">
        <f>""</f>
        <v/>
      </c>
      <c r="L6" t="str">
        <f>"18.7"</f>
        <v>18.7</v>
      </c>
      <c r="M6" t="str">
        <f>""</f>
        <v/>
      </c>
      <c r="N6" t="str">
        <f>"20.8"</f>
        <v>20.8</v>
      </c>
      <c r="O6" t="str">
        <f>""</f>
        <v/>
      </c>
      <c r="P6" t="str">
        <f>"19.6"</f>
        <v>19.6</v>
      </c>
      <c r="Q6" t="str">
        <f>""</f>
        <v/>
      </c>
      <c r="R6" t="str">
        <f>"19.3"</f>
        <v>19.3</v>
      </c>
      <c r="S6" t="str">
        <f>""</f>
        <v/>
      </c>
      <c r="T6" t="str">
        <f>"237.2"</f>
        <v>237.2</v>
      </c>
    </row>
    <row r="7" spans="1:20" x14ac:dyDescent="0.25">
      <c r="A7">
        <v>3</v>
      </c>
      <c r="B7" t="str">
        <f>"Allan, Eva (487564)"</f>
        <v>Allan, Eva (487564)</v>
      </c>
      <c r="C7" t="str">
        <f>"Mooresville, NC"</f>
        <v>Mooresville, NC</v>
      </c>
      <c r="D7" t="str">
        <f>"47.5"</f>
        <v>47.5</v>
      </c>
      <c r="E7" t="str">
        <f>"48.6"</f>
        <v>48.6</v>
      </c>
      <c r="F7" t="str">
        <f>"19.6"</f>
        <v>19.6</v>
      </c>
      <c r="G7" t="str">
        <f>""</f>
        <v/>
      </c>
      <c r="H7" t="str">
        <f>"20.4"</f>
        <v>20.4</v>
      </c>
      <c r="I7" t="str">
        <f>""</f>
        <v/>
      </c>
      <c r="J7" t="str">
        <f>"20.2"</f>
        <v>20.2</v>
      </c>
      <c r="K7" t="str">
        <f>""</f>
        <v/>
      </c>
      <c r="L7" t="str">
        <f>"19.9"</f>
        <v>19.9</v>
      </c>
      <c r="M7" t="str">
        <f>""</f>
        <v/>
      </c>
      <c r="N7" t="str">
        <f>"19.8"</f>
        <v>19.8</v>
      </c>
      <c r="O7" t="str">
        <f>""</f>
        <v/>
      </c>
      <c r="P7" t="str">
        <f>"18.7"</f>
        <v>18.7</v>
      </c>
      <c r="Q7" t="str">
        <f>""</f>
        <v/>
      </c>
      <c r="R7" t="str">
        <f>""</f>
        <v/>
      </c>
      <c r="S7" t="str">
        <f>""</f>
        <v/>
      </c>
      <c r="T7" t="str">
        <f>"214.7"</f>
        <v>214.7</v>
      </c>
    </row>
    <row r="8" spans="1:20" x14ac:dyDescent="0.25">
      <c r="A8">
        <v>4</v>
      </c>
      <c r="B8" t="str">
        <f>"Korkhin, Ada (327592)"</f>
        <v>Korkhin, Ada (327592)</v>
      </c>
      <c r="C8" t="str">
        <f>"BROOKLINE, MA"</f>
        <v>BROOKLINE, MA</v>
      </c>
      <c r="D8" t="str">
        <f>"48.8"</f>
        <v>48.8</v>
      </c>
      <c r="E8" t="str">
        <f>"49.4"</f>
        <v>49.4</v>
      </c>
      <c r="F8" t="str">
        <f>"19.9"</f>
        <v>19.9</v>
      </c>
      <c r="G8" t="str">
        <f>""</f>
        <v/>
      </c>
      <c r="H8" t="str">
        <f>"19.5"</f>
        <v>19.5</v>
      </c>
      <c r="I8" t="str">
        <f>""</f>
        <v/>
      </c>
      <c r="J8" t="str">
        <f>"19.0"</f>
        <v>19.0</v>
      </c>
      <c r="K8" t="str">
        <f>""</f>
        <v/>
      </c>
      <c r="L8" t="str">
        <f>"19.7"</f>
        <v>19.7</v>
      </c>
      <c r="M8" t="str">
        <f>""</f>
        <v/>
      </c>
      <c r="N8" t="str">
        <f>"17.9"</f>
        <v>17.9</v>
      </c>
      <c r="O8" t="str">
        <f>""</f>
        <v/>
      </c>
      <c r="P8" t="str">
        <f>""</f>
        <v/>
      </c>
      <c r="Q8" t="str">
        <f>""</f>
        <v/>
      </c>
      <c r="R8" t="str">
        <f>""</f>
        <v/>
      </c>
      <c r="S8" t="str">
        <f>""</f>
        <v/>
      </c>
      <c r="T8" t="str">
        <f>"194.2"</f>
        <v>194.2</v>
      </c>
    </row>
    <row r="9" spans="1:20" x14ac:dyDescent="0.25">
      <c r="A9">
        <v>5</v>
      </c>
      <c r="B9" t="str">
        <f>"Ganstooj, Maral (431669)"</f>
        <v>Ganstooj, Maral (431669)</v>
      </c>
      <c r="C9" t="str">
        <f>"Schaumburg, IL"</f>
        <v>Schaumburg, IL</v>
      </c>
      <c r="D9" t="str">
        <f>"49.3"</f>
        <v>49.3</v>
      </c>
      <c r="E9" t="str">
        <f>"47.8"</f>
        <v>47.8</v>
      </c>
      <c r="F9" t="str">
        <f>"20.8"</f>
        <v>20.8</v>
      </c>
      <c r="G9" t="str">
        <f>""</f>
        <v/>
      </c>
      <c r="H9" t="str">
        <f>"18.8"</f>
        <v>18.8</v>
      </c>
      <c r="I9" t="str">
        <f>""</f>
        <v/>
      </c>
      <c r="J9" t="str">
        <f>"18.2"</f>
        <v>18.2</v>
      </c>
      <c r="K9" t="str">
        <f>""</f>
        <v/>
      </c>
      <c r="L9" t="str">
        <f>"17.7"</f>
        <v>17.7</v>
      </c>
      <c r="M9" t="str">
        <f>""</f>
        <v/>
      </c>
      <c r="N9" t="str">
        <f>""</f>
        <v/>
      </c>
      <c r="O9" t="str">
        <f>""</f>
        <v/>
      </c>
      <c r="P9" t="str">
        <f>""</f>
        <v/>
      </c>
      <c r="Q9" t="str">
        <f>""</f>
        <v/>
      </c>
      <c r="R9" t="str">
        <f>""</f>
        <v/>
      </c>
      <c r="S9" t="str">
        <f>""</f>
        <v/>
      </c>
      <c r="T9" t="str">
        <f>"172.6"</f>
        <v>172.6</v>
      </c>
    </row>
    <row r="10" spans="1:20" x14ac:dyDescent="0.25">
      <c r="A10">
        <v>6</v>
      </c>
      <c r="B10" t="str">
        <f>"Ehmer, Kara (144106)"</f>
        <v>Ehmer, Kara (144106)</v>
      </c>
      <c r="C10" t="str">
        <f>"Atlanta, GA"</f>
        <v>Atlanta, GA</v>
      </c>
      <c r="D10" t="str">
        <f>"45.8"</f>
        <v>45.8</v>
      </c>
      <c r="E10" t="str">
        <f>"49.1"</f>
        <v>49.1</v>
      </c>
      <c r="F10" t="str">
        <f>"19.2"</f>
        <v>19.2</v>
      </c>
      <c r="G10" t="str">
        <f>""</f>
        <v/>
      </c>
      <c r="H10" t="str">
        <f>"19.4"</f>
        <v>19.4</v>
      </c>
      <c r="I10" t="str">
        <f>""</f>
        <v/>
      </c>
      <c r="J10" t="str">
        <f>"18.9"</f>
        <v>18.9</v>
      </c>
      <c r="K10" t="str">
        <f>""</f>
        <v/>
      </c>
      <c r="L10" t="str">
        <f>""</f>
        <v/>
      </c>
      <c r="M10" t="str">
        <f>""</f>
        <v/>
      </c>
      <c r="N10" t="str">
        <f>""</f>
        <v/>
      </c>
      <c r="O10" t="str">
        <f>""</f>
        <v/>
      </c>
      <c r="P10" t="str">
        <f>""</f>
        <v/>
      </c>
      <c r="Q10" t="str">
        <f>""</f>
        <v/>
      </c>
      <c r="R10" t="str">
        <f>""</f>
        <v/>
      </c>
      <c r="S10" t="str">
        <f>""</f>
        <v/>
      </c>
      <c r="T10" t="str">
        <f>"152.4"</f>
        <v>152.4</v>
      </c>
    </row>
    <row r="11" spans="1:20" x14ac:dyDescent="0.25">
      <c r="A11">
        <v>7</v>
      </c>
      <c r="B11" t="str">
        <f>"Tairney, Hayden (457320)"</f>
        <v>Tairney, Hayden (457320)</v>
      </c>
      <c r="C11" t="str">
        <f>"Elizabeth, CO"</f>
        <v>Elizabeth, CO</v>
      </c>
      <c r="D11" t="str">
        <f>"47.9"</f>
        <v>47.9</v>
      </c>
      <c r="E11" t="str">
        <f>"49.3"</f>
        <v>49.3</v>
      </c>
      <c r="F11" t="str">
        <f>"18.7"</f>
        <v>18.7</v>
      </c>
      <c r="G11" t="str">
        <f>""</f>
        <v/>
      </c>
      <c r="H11" t="str">
        <f>"17.3"</f>
        <v>17.3</v>
      </c>
      <c r="I11" t="str">
        <f>""</f>
        <v/>
      </c>
      <c r="J11" t="str">
        <f>""</f>
        <v/>
      </c>
      <c r="K11" t="str">
        <f>""</f>
        <v/>
      </c>
      <c r="L11" t="str">
        <f>""</f>
        <v/>
      </c>
      <c r="M11" t="str">
        <f>""</f>
        <v/>
      </c>
      <c r="N11" t="str">
        <f>""</f>
        <v/>
      </c>
      <c r="O11" t="str">
        <f>""</f>
        <v/>
      </c>
      <c r="P11" t="str">
        <f>""</f>
        <v/>
      </c>
      <c r="Q11" t="str">
        <f>""</f>
        <v/>
      </c>
      <c r="R11" t="str">
        <f>""</f>
        <v/>
      </c>
      <c r="S11" t="str">
        <f>""</f>
        <v/>
      </c>
      <c r="T11" t="str">
        <f>"133.2"</f>
        <v>133.2</v>
      </c>
    </row>
    <row r="12" spans="1:20" x14ac:dyDescent="0.25">
      <c r="A12">
        <v>8</v>
      </c>
      <c r="B12" t="str">
        <f>"Uptagrafft, Sandra, CW2, USAR (92472)"</f>
        <v>Uptagrafft, Sandra, CW2, USAR (92472)</v>
      </c>
      <c r="C12" t="str">
        <f>"Phenix City, AL"</f>
        <v>Phenix City, AL</v>
      </c>
      <c r="D12" t="str">
        <f>"47.6"</f>
        <v>47.6</v>
      </c>
      <c r="E12" t="str">
        <f>"46.3"</f>
        <v>46.3</v>
      </c>
      <c r="F12" t="str">
        <f>"19.7"</f>
        <v>19.7</v>
      </c>
      <c r="G12" t="str">
        <f>""</f>
        <v/>
      </c>
      <c r="H12" t="str">
        <f>""</f>
        <v/>
      </c>
      <c r="I12" t="str">
        <f>""</f>
        <v/>
      </c>
      <c r="J12" t="str">
        <f>""</f>
        <v/>
      </c>
      <c r="K12" t="str">
        <f>""</f>
        <v/>
      </c>
      <c r="L12" t="str">
        <f>""</f>
        <v/>
      </c>
      <c r="M12" t="str">
        <f>""</f>
        <v/>
      </c>
      <c r="N12" t="str">
        <f>""</f>
        <v/>
      </c>
      <c r="O12" t="str">
        <f>""</f>
        <v/>
      </c>
      <c r="P12" t="str">
        <f>""</f>
        <v/>
      </c>
      <c r="Q12" t="str">
        <f>""</f>
        <v/>
      </c>
      <c r="R12" t="str">
        <f>""</f>
        <v/>
      </c>
      <c r="S12" t="str">
        <f>""</f>
        <v/>
      </c>
      <c r="T12" t="str">
        <f>"113.6"</f>
        <v>113.6</v>
      </c>
    </row>
    <row r="15" spans="1:20" x14ac:dyDescent="0.25">
      <c r="A15" t="str">
        <f>"2025 USA Shooting Winter Air Gun - Camp Perry"</f>
        <v>2025 USA Shooting Winter Air Gun - Camp Perry</v>
      </c>
    </row>
    <row r="16" spans="1:20" x14ac:dyDescent="0.25">
      <c r="A16" t="str">
        <f>"Junior Women's Final"</f>
        <v>Junior Women's Final</v>
      </c>
    </row>
    <row r="17" spans="1:19" x14ac:dyDescent="0.25">
      <c r="A17" t="str">
        <f>""</f>
        <v/>
      </c>
    </row>
    <row r="18" spans="1:19" x14ac:dyDescent="0.25">
      <c r="A18" t="str">
        <f>"Place"</f>
        <v>Place</v>
      </c>
      <c r="B18" t="str">
        <f>"Competitor (Comp Num)"</f>
        <v>Competitor (Comp Num)</v>
      </c>
      <c r="C18" t="str">
        <f>"ISSF Final, First 5 Shot Stage"</f>
        <v>ISSF Final, First 5 Shot Stage</v>
      </c>
      <c r="D18" t="str">
        <f>"ISSF Final, Second 5 Shot"</f>
        <v>ISSF Final, Second 5 Shot</v>
      </c>
      <c r="E18" t="str">
        <f>"ISSF Final, First 2 Shot"</f>
        <v>ISSF Final, First 2 Shot</v>
      </c>
      <c r="F18" t="str">
        <f>"ISSF Final, Shootoff after F3"</f>
        <v>ISSF Final, Shootoff after F3</v>
      </c>
      <c r="G18" t="str">
        <f>"ISSF Final, Second 2 Shot"</f>
        <v>ISSF Final, Second 2 Shot</v>
      </c>
      <c r="H18" t="str">
        <f>"ISSF Final, Shootoff after F4"</f>
        <v>ISSF Final, Shootoff after F4</v>
      </c>
      <c r="I18" t="str">
        <f>"ISSF Final, Third 2 Shot"</f>
        <v>ISSF Final, Third 2 Shot</v>
      </c>
      <c r="J18" t="str">
        <f>"ISSF Final, Shootoff after F5"</f>
        <v>ISSF Final, Shootoff after F5</v>
      </c>
      <c r="K18" t="str">
        <f>"ISSF Final, Fourth 2 Shot"</f>
        <v>ISSF Final, Fourth 2 Shot</v>
      </c>
      <c r="L18" t="str">
        <f>"ISSF Final, Shootoff after F6"</f>
        <v>ISSF Final, Shootoff after F6</v>
      </c>
      <c r="M18" t="str">
        <f>"ISSF Final, Fifth 2 Shot"</f>
        <v>ISSF Final, Fifth 2 Shot</v>
      </c>
      <c r="N18" t="str">
        <f>"ISSF Final, Shootoff after F7"</f>
        <v>ISSF Final, Shootoff after F7</v>
      </c>
      <c r="O18" t="str">
        <f>"ISSF Final, Sixth 2 Shot"</f>
        <v>ISSF Final, Sixth 2 Shot</v>
      </c>
      <c r="P18" t="str">
        <f>"ISSF Final, Shootoff after F8"</f>
        <v>ISSF Final, Shootoff after F8</v>
      </c>
      <c r="Q18" t="str">
        <f>"ISSF Final, Seventh 2 Shot"</f>
        <v>ISSF Final, Seventh 2 Shot</v>
      </c>
      <c r="R18" t="str">
        <f>"ISSF Final, Shootoff after F9"</f>
        <v>ISSF Final, Shootoff after F9</v>
      </c>
      <c r="S18" t="str">
        <f>"Aggregate"</f>
        <v>Aggregate</v>
      </c>
    </row>
    <row r="19" spans="1:19" x14ac:dyDescent="0.25">
      <c r="A19">
        <v>1</v>
      </c>
      <c r="B19" t="str">
        <f>"Sanghera, Suman (346247)"</f>
        <v>Sanghera, Suman (346247)</v>
      </c>
      <c r="C19" t="str">
        <f>"49.1"</f>
        <v>49.1</v>
      </c>
      <c r="D19" t="str">
        <f>"51.1"</f>
        <v>51.1</v>
      </c>
      <c r="E19" t="str">
        <f>"19.8"</f>
        <v>19.8</v>
      </c>
      <c r="F19" t="str">
        <f>""</f>
        <v/>
      </c>
      <c r="G19" t="str">
        <f>"21.3"</f>
        <v>21.3</v>
      </c>
      <c r="H19" t="str">
        <f>""</f>
        <v/>
      </c>
      <c r="I19" t="str">
        <f>"18.6"</f>
        <v>18.6</v>
      </c>
      <c r="J19" t="str">
        <f>""</f>
        <v/>
      </c>
      <c r="K19" t="str">
        <f>"18.6"</f>
        <v>18.6</v>
      </c>
      <c r="L19" t="str">
        <f>""</f>
        <v/>
      </c>
      <c r="M19" t="str">
        <f>"19.1"</f>
        <v>19.1</v>
      </c>
      <c r="N19" t="str">
        <f>""</f>
        <v/>
      </c>
      <c r="O19" t="str">
        <f>"20.0"</f>
        <v>20.0</v>
      </c>
      <c r="P19" t="str">
        <f>""</f>
        <v/>
      </c>
      <c r="Q19" t="str">
        <f>"19.3"</f>
        <v>19.3</v>
      </c>
      <c r="R19" t="str">
        <f>""</f>
        <v/>
      </c>
      <c r="S19" t="str">
        <f>"236.9"</f>
        <v>236.9</v>
      </c>
    </row>
    <row r="20" spans="1:19" x14ac:dyDescent="0.25">
      <c r="A20">
        <v>2</v>
      </c>
      <c r="B20" t="str">
        <f>"Korkhin, Ada (327592)"</f>
        <v>Korkhin, Ada (327592)</v>
      </c>
      <c r="C20" t="str">
        <f>"49.0"</f>
        <v>49.0</v>
      </c>
      <c r="D20" t="str">
        <f>"50.4"</f>
        <v>50.4</v>
      </c>
      <c r="E20" t="str">
        <f>"19.3"</f>
        <v>19.3</v>
      </c>
      <c r="F20" t="str">
        <f>""</f>
        <v/>
      </c>
      <c r="G20" t="str">
        <f>"19.1"</f>
        <v>19.1</v>
      </c>
      <c r="H20" t="str">
        <f>""</f>
        <v/>
      </c>
      <c r="I20" t="str">
        <f>"19.1"</f>
        <v>19.1</v>
      </c>
      <c r="J20" t="str">
        <f>""</f>
        <v/>
      </c>
      <c r="K20" t="str">
        <f>"19.0"</f>
        <v>19.0</v>
      </c>
      <c r="L20" t="str">
        <f>""</f>
        <v/>
      </c>
      <c r="M20" t="str">
        <f>"18.2"</f>
        <v>18.2</v>
      </c>
      <c r="N20" t="str">
        <f>""</f>
        <v/>
      </c>
      <c r="O20" t="str">
        <f>"19.1"</f>
        <v>19.1</v>
      </c>
      <c r="P20" t="str">
        <f>""</f>
        <v/>
      </c>
      <c r="Q20" t="str">
        <f>"19.7"</f>
        <v>19.7</v>
      </c>
      <c r="R20" t="str">
        <f>""</f>
        <v/>
      </c>
      <c r="S20" t="str">
        <f>"232.9"</f>
        <v>232.9</v>
      </c>
    </row>
    <row r="21" spans="1:19" x14ac:dyDescent="0.25">
      <c r="A21">
        <v>3</v>
      </c>
      <c r="B21" t="str">
        <f>"Allan, Eva (487564)"</f>
        <v>Allan, Eva (487564)</v>
      </c>
      <c r="C21" t="str">
        <f>"47.9"</f>
        <v>47.9</v>
      </c>
      <c r="D21" t="str">
        <f>"44.7"</f>
        <v>44.7</v>
      </c>
      <c r="E21" t="str">
        <f>"19.3"</f>
        <v>19.3</v>
      </c>
      <c r="F21" t="str">
        <f>""</f>
        <v/>
      </c>
      <c r="G21" t="str">
        <f>"20.5"</f>
        <v>20.5</v>
      </c>
      <c r="H21" t="str">
        <f>""</f>
        <v/>
      </c>
      <c r="I21" t="str">
        <f>"18.5"</f>
        <v>18.5</v>
      </c>
      <c r="J21" t="str">
        <f>""</f>
        <v/>
      </c>
      <c r="K21" t="str">
        <f>"20.1"</f>
        <v>20.1</v>
      </c>
      <c r="L21" t="str">
        <f>""</f>
        <v/>
      </c>
      <c r="M21" t="str">
        <f>"21.1"</f>
        <v>21.1</v>
      </c>
      <c r="N21" t="str">
        <f>""</f>
        <v/>
      </c>
      <c r="O21" t="str">
        <f>"18.1"</f>
        <v>18.1</v>
      </c>
      <c r="P21" t="str">
        <f>""</f>
        <v/>
      </c>
      <c r="Q21" t="str">
        <f>""</f>
        <v/>
      </c>
      <c r="R21" t="str">
        <f>""</f>
        <v/>
      </c>
      <c r="S21" t="str">
        <f>"210.2"</f>
        <v>210.2</v>
      </c>
    </row>
    <row r="22" spans="1:19" x14ac:dyDescent="0.25">
      <c r="A22">
        <v>4</v>
      </c>
      <c r="B22" t="str">
        <f>"Deokule, Anjali (400379)"</f>
        <v>Deokule, Anjali (400379)</v>
      </c>
      <c r="C22" t="str">
        <f>"47.2"</f>
        <v>47.2</v>
      </c>
      <c r="D22" t="str">
        <f>"48.5"</f>
        <v>48.5</v>
      </c>
      <c r="E22" t="str">
        <f>"19.3"</f>
        <v>19.3</v>
      </c>
      <c r="F22" t="str">
        <f>""</f>
        <v/>
      </c>
      <c r="G22" t="str">
        <f>"20.2"</f>
        <v>20.2</v>
      </c>
      <c r="H22" t="str">
        <f>""</f>
        <v/>
      </c>
      <c r="I22" t="str">
        <f>"19.2"</f>
        <v>19.2</v>
      </c>
      <c r="J22" t="str">
        <f>""</f>
        <v/>
      </c>
      <c r="K22" t="str">
        <f>"17.2"</f>
        <v>17.2</v>
      </c>
      <c r="L22" t="str">
        <f>""</f>
        <v/>
      </c>
      <c r="M22" t="str">
        <f>"16.6"</f>
        <v>16.6</v>
      </c>
      <c r="N22" t="str">
        <f>""</f>
        <v/>
      </c>
      <c r="O22" t="str">
        <f>""</f>
        <v/>
      </c>
      <c r="P22" t="str">
        <f>""</f>
        <v/>
      </c>
      <c r="Q22" t="str">
        <f>""</f>
        <v/>
      </c>
      <c r="R22" t="str">
        <f>""</f>
        <v/>
      </c>
      <c r="S22" t="str">
        <f>"188.2"</f>
        <v>188.2</v>
      </c>
    </row>
    <row r="23" spans="1:19" x14ac:dyDescent="0.25">
      <c r="A23">
        <v>5</v>
      </c>
      <c r="B23" t="str">
        <f>"Deokule, Ankita (400381)"</f>
        <v>Deokule, Ankita (400381)</v>
      </c>
      <c r="C23" t="str">
        <f>"47.3"</f>
        <v>47.3</v>
      </c>
      <c r="D23" t="str">
        <f>"48.9"</f>
        <v>48.9</v>
      </c>
      <c r="E23" t="str">
        <f>"18.8"</f>
        <v>18.8</v>
      </c>
      <c r="F23" t="str">
        <f>""</f>
        <v/>
      </c>
      <c r="G23" t="str">
        <f>"17.5"</f>
        <v>17.5</v>
      </c>
      <c r="H23" t="str">
        <f>""</f>
        <v/>
      </c>
      <c r="I23" t="str">
        <f>"19.6"</f>
        <v>19.6</v>
      </c>
      <c r="J23" t="str">
        <f>""</f>
        <v/>
      </c>
      <c r="K23" t="str">
        <f>"17.3"</f>
        <v>17.3</v>
      </c>
      <c r="L23" t="str">
        <f>""</f>
        <v/>
      </c>
      <c r="M23" t="str">
        <f>""</f>
        <v/>
      </c>
      <c r="N23" t="str">
        <f>""</f>
        <v/>
      </c>
      <c r="O23" t="str">
        <f>""</f>
        <v/>
      </c>
      <c r="P23" t="str">
        <f>""</f>
        <v/>
      </c>
      <c r="Q23" t="str">
        <f>""</f>
        <v/>
      </c>
      <c r="R23" t="str">
        <f>""</f>
        <v/>
      </c>
      <c r="S23" t="str">
        <f>"169.4"</f>
        <v>169.4</v>
      </c>
    </row>
    <row r="24" spans="1:19" x14ac:dyDescent="0.25">
      <c r="A24">
        <v>6</v>
      </c>
      <c r="B24" t="str">
        <f>"Tairney, Hayden (457320)"</f>
        <v>Tairney, Hayden (457320)</v>
      </c>
      <c r="C24" t="str">
        <f>"49.8"</f>
        <v>49.8</v>
      </c>
      <c r="D24" t="str">
        <f>"45.4"</f>
        <v>45.4</v>
      </c>
      <c r="E24" t="str">
        <f>"18.4"</f>
        <v>18.4</v>
      </c>
      <c r="F24" t="str">
        <f>""</f>
        <v/>
      </c>
      <c r="G24" t="str">
        <f>"18.8"</f>
        <v>18.8</v>
      </c>
      <c r="H24" t="str">
        <f>""</f>
        <v/>
      </c>
      <c r="I24" t="str">
        <f>"18.3"</f>
        <v>18.3</v>
      </c>
      <c r="J24" t="str">
        <f>""</f>
        <v/>
      </c>
      <c r="K24" t="str">
        <f>""</f>
        <v/>
      </c>
      <c r="L24" t="str">
        <f>""</f>
        <v/>
      </c>
      <c r="M24" t="str">
        <f>""</f>
        <v/>
      </c>
      <c r="N24" t="str">
        <f>""</f>
        <v/>
      </c>
      <c r="O24" t="str">
        <f>""</f>
        <v/>
      </c>
      <c r="P24" t="str">
        <f>""</f>
        <v/>
      </c>
      <c r="Q24" t="str">
        <f>""</f>
        <v/>
      </c>
      <c r="R24" t="str">
        <f>""</f>
        <v/>
      </c>
      <c r="S24" t="str">
        <f>"150.7"</f>
        <v>150.7</v>
      </c>
    </row>
    <row r="25" spans="1:19" x14ac:dyDescent="0.25">
      <c r="A25">
        <v>7</v>
      </c>
      <c r="B25" t="str">
        <f>"Ganstooj, Maral (431669)"</f>
        <v>Ganstooj, Maral (431669)</v>
      </c>
      <c r="C25" t="str">
        <f>"50.1"</f>
        <v>50.1</v>
      </c>
      <c r="D25" t="str">
        <f>"44.8"</f>
        <v>44.8</v>
      </c>
      <c r="E25" t="str">
        <f>"18.8"</f>
        <v>18.8</v>
      </c>
      <c r="F25" t="str">
        <f>""</f>
        <v/>
      </c>
      <c r="G25" t="str">
        <f>"17.6"</f>
        <v>17.6</v>
      </c>
      <c r="H25" t="str">
        <f>""</f>
        <v/>
      </c>
      <c r="I25" t="str">
        <f>""</f>
        <v/>
      </c>
      <c r="J25" t="str">
        <f>""</f>
        <v/>
      </c>
      <c r="K25" t="str">
        <f>""</f>
        <v/>
      </c>
      <c r="L25" t="str">
        <f>""</f>
        <v/>
      </c>
      <c r="M25" t="str">
        <f>""</f>
        <v/>
      </c>
      <c r="N25" t="str">
        <f>""</f>
        <v/>
      </c>
      <c r="O25" t="str">
        <f>""</f>
        <v/>
      </c>
      <c r="P25" t="str">
        <f>""</f>
        <v/>
      </c>
      <c r="Q25" t="str">
        <f>""</f>
        <v/>
      </c>
      <c r="R25" t="str">
        <f>""</f>
        <v/>
      </c>
      <c r="S25" t="str">
        <f>"131.3"</f>
        <v>131.3</v>
      </c>
    </row>
    <row r="26" spans="1:19" x14ac:dyDescent="0.25">
      <c r="A26">
        <v>8</v>
      </c>
      <c r="B26" t="str">
        <f>"Singh, Saanvi (400475)"</f>
        <v>Singh, Saanvi (400475)</v>
      </c>
      <c r="C26" t="str">
        <f>"43.5"</f>
        <v>43.5</v>
      </c>
      <c r="D26" t="str">
        <f>"47.4"</f>
        <v>47.4</v>
      </c>
      <c r="E26" t="str">
        <f>"19.6"</f>
        <v>19.6</v>
      </c>
      <c r="F26" t="str">
        <f>""</f>
        <v/>
      </c>
      <c r="G26" t="str">
        <f>""</f>
        <v/>
      </c>
      <c r="H26" t="str">
        <f>""</f>
        <v/>
      </c>
      <c r="I26" t="str">
        <f>""</f>
        <v/>
      </c>
      <c r="J26" t="str">
        <f>""</f>
        <v/>
      </c>
      <c r="K26" t="str">
        <f>""</f>
        <v/>
      </c>
      <c r="L26" t="str">
        <f>""</f>
        <v/>
      </c>
      <c r="M26" t="str">
        <f>""</f>
        <v/>
      </c>
      <c r="N26" t="str">
        <f>""</f>
        <v/>
      </c>
      <c r="O26" t="str">
        <f>""</f>
        <v/>
      </c>
      <c r="P26" t="str">
        <f>""</f>
        <v/>
      </c>
      <c r="Q26" t="str">
        <f>""</f>
        <v/>
      </c>
      <c r="R26" t="str">
        <f>""</f>
        <v/>
      </c>
      <c r="S26" t="str">
        <f>"110.5"</f>
        <v>110.5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A2B30-6569-4619-882F-0EEB3CCF4956}">
  <dimension ref="A1:F35"/>
  <sheetViews>
    <sheetView workbookViewId="0">
      <selection activeCell="G30" sqref="G30"/>
    </sheetView>
  </sheetViews>
  <sheetFormatPr defaultRowHeight="15" x14ac:dyDescent="0.25"/>
  <cols>
    <col min="1" max="1" width="42.7109375" bestFit="1" customWidth="1"/>
    <col min="2" max="2" width="33.140625" bestFit="1" customWidth="1"/>
    <col min="3" max="3" width="18" bestFit="1" customWidth="1"/>
  </cols>
  <sheetData>
    <row r="1" spans="1:6" x14ac:dyDescent="0.25">
      <c r="A1" t="str">
        <f>"2025 USA Shooting Winter Air Gun - Camp Perry"</f>
        <v>2025 USA Shooting Winter Air Gun - Camp Perry</v>
      </c>
    </row>
    <row r="2" spans="1:6" x14ac:dyDescent="0.25">
      <c r="A2" t="str">
        <f>"Open Qualification - Men"</f>
        <v>Open Qualification - Men</v>
      </c>
    </row>
    <row r="3" spans="1:6" x14ac:dyDescent="0.25">
      <c r="A3" t="str">
        <f>""</f>
        <v/>
      </c>
    </row>
    <row r="4" spans="1:6" x14ac:dyDescent="0.25">
      <c r="A4" t="str">
        <f>"Place"</f>
        <v>Place</v>
      </c>
      <c r="B4" t="str">
        <f>"Competitor (Comp Num)"</f>
        <v>Competitor (Comp Num)</v>
      </c>
      <c r="C4" t="str">
        <f>"Hometown"</f>
        <v>Hometown</v>
      </c>
      <c r="D4" t="str">
        <f>"D1 60 P"</f>
        <v>D1 60 P</v>
      </c>
      <c r="E4" t="str">
        <f>"D2 60 Pistol"</f>
        <v>D2 60 Pistol</v>
      </c>
      <c r="F4" t="str">
        <f>"Aggregate"</f>
        <v>Aggregate</v>
      </c>
    </row>
    <row r="5" spans="1:6" x14ac:dyDescent="0.25">
      <c r="A5">
        <v>1</v>
      </c>
      <c r="B5" t="str">
        <f>"Klemp, Marcus (335048)"</f>
        <v>Klemp, Marcus (335048)</v>
      </c>
      <c r="C5" t="str">
        <f>"Missoula, MT"</f>
        <v>Missoula, MT</v>
      </c>
      <c r="D5" t="str">
        <f>"569 - 12"</f>
        <v>569 - 12</v>
      </c>
      <c r="E5" t="str">
        <f>"572 - 11"</f>
        <v>572 - 11</v>
      </c>
      <c r="F5" t="str">
        <f>"1,141 - 23"</f>
        <v>1,141 - 23</v>
      </c>
    </row>
    <row r="6" spans="1:6" x14ac:dyDescent="0.25">
      <c r="A6">
        <v>2</v>
      </c>
      <c r="B6" t="str">
        <f>"Schmeltzer, Timothy (229769)"</f>
        <v>Schmeltzer, Timothy (229769)</v>
      </c>
      <c r="C6" t="str">
        <f>"Sandusky, OH"</f>
        <v>Sandusky, OH</v>
      </c>
      <c r="D6" t="str">
        <f>"564 - 12"</f>
        <v>564 - 12</v>
      </c>
      <c r="E6" t="str">
        <f>"569 - 11"</f>
        <v>569 - 11</v>
      </c>
      <c r="F6" t="str">
        <f>"1,133 - 23"</f>
        <v>1,133 - 23</v>
      </c>
    </row>
    <row r="7" spans="1:6" x14ac:dyDescent="0.25">
      <c r="A7">
        <v>3</v>
      </c>
      <c r="B7" t="str">
        <f>"Simpson, Blaine (362489)"</f>
        <v>Simpson, Blaine (362489)</v>
      </c>
      <c r="C7" t="str">
        <f>"Sidney , OH"</f>
        <v>Sidney , OH</v>
      </c>
      <c r="D7" t="str">
        <f>"559 - 8"</f>
        <v>559 - 8</v>
      </c>
      <c r="E7" t="str">
        <f>"568 - 20"</f>
        <v>568 - 20</v>
      </c>
      <c r="F7" t="str">
        <f>"1,127 - 28"</f>
        <v>1,127 - 28</v>
      </c>
    </row>
    <row r="8" spans="1:6" x14ac:dyDescent="0.25">
      <c r="A8">
        <v>4</v>
      </c>
      <c r="B8" t="str">
        <f>"Smith, Colin (254302)"</f>
        <v>Smith, Colin (254302)</v>
      </c>
      <c r="C8" t="str">
        <f>"Pittsburgh, PA"</f>
        <v>Pittsburgh, PA</v>
      </c>
      <c r="D8" t="str">
        <f>"567 - 14"</f>
        <v>567 - 14</v>
      </c>
      <c r="E8" t="str">
        <f>"556 - 7"</f>
        <v>556 - 7</v>
      </c>
      <c r="F8" t="str">
        <f>"1,123 - 21"</f>
        <v>1,123 - 21</v>
      </c>
    </row>
    <row r="9" spans="1:6" x14ac:dyDescent="0.25">
      <c r="A9">
        <v>5</v>
      </c>
      <c r="B9" t="str">
        <f>"Hall, James (29)"</f>
        <v>Hall, James (29)</v>
      </c>
      <c r="C9" t="str">
        <f>"Rocheport, MO"</f>
        <v>Rocheport, MO</v>
      </c>
      <c r="D9" t="str">
        <f>"562 - 14"</f>
        <v>562 - 14</v>
      </c>
      <c r="E9" t="str">
        <f>"555 - 11"</f>
        <v>555 - 11</v>
      </c>
      <c r="F9" t="str">
        <f>"1,117 - 25"</f>
        <v>1,117 - 25</v>
      </c>
    </row>
    <row r="10" spans="1:6" x14ac:dyDescent="0.25">
      <c r="A10">
        <v>6</v>
      </c>
      <c r="B10" t="str">
        <f>"Arkin, Elie (437013)"</f>
        <v>Arkin, Elie (437013)</v>
      </c>
      <c r="C10" t="str">
        <f>"Falls Church, VA"</f>
        <v>Falls Church, VA</v>
      </c>
      <c r="D10" t="str">
        <f>"549 - 10"</f>
        <v>549 - 10</v>
      </c>
      <c r="E10" t="str">
        <f>"555 - 9"</f>
        <v>555 - 9</v>
      </c>
      <c r="F10" t="str">
        <f>"1,104 - 19"</f>
        <v>1,104 - 19</v>
      </c>
    </row>
    <row r="11" spans="1:6" x14ac:dyDescent="0.25">
      <c r="A11">
        <v>7</v>
      </c>
      <c r="B11" t="str">
        <f>"Regala, William (386616)"</f>
        <v>Regala, William (386616)</v>
      </c>
      <c r="C11" t="str">
        <f>"Burke, VA"</f>
        <v>Burke, VA</v>
      </c>
      <c r="D11" t="str">
        <f>"564 - 13"</f>
        <v>564 - 13</v>
      </c>
      <c r="E11" t="str">
        <f>"539 - 10"</f>
        <v>539 - 10</v>
      </c>
      <c r="F11" t="str">
        <f>"1,103 - 23"</f>
        <v>1,103 - 23</v>
      </c>
    </row>
    <row r="12" spans="1:6" x14ac:dyDescent="0.25">
      <c r="A12">
        <v>8</v>
      </c>
      <c r="B12" t="str">
        <f>"Anderson, Raylan, Mr. (477781)"</f>
        <v>Anderson, Raylan, Mr. (477781)</v>
      </c>
      <c r="C12" t="str">
        <f>"Paris, KY"</f>
        <v>Paris, KY</v>
      </c>
      <c r="D12" t="str">
        <f>"559 - 9"</f>
        <v>559 - 9</v>
      </c>
      <c r="E12" t="str">
        <f>"542 - 6"</f>
        <v>542 - 6</v>
      </c>
      <c r="F12" t="str">
        <f>"1,101 - 15"</f>
        <v>1,101 - 15</v>
      </c>
    </row>
    <row r="13" spans="1:6" x14ac:dyDescent="0.25">
      <c r="A13">
        <v>9</v>
      </c>
      <c r="B13" t="str">
        <f>"Poulin, Sam (409668)"</f>
        <v>Poulin, Sam (409668)</v>
      </c>
      <c r="C13" t="str">
        <f>"Scarborough, ME"</f>
        <v>Scarborough, ME</v>
      </c>
      <c r="D13" t="str">
        <f>"550 - 7"</f>
        <v>550 - 7</v>
      </c>
      <c r="E13" t="str">
        <f>"549 - 7"</f>
        <v>549 - 7</v>
      </c>
      <c r="F13" t="str">
        <f>"1,099 - 14"</f>
        <v>1,099 - 14</v>
      </c>
    </row>
    <row r="14" spans="1:6" x14ac:dyDescent="0.25">
      <c r="A14">
        <v>10</v>
      </c>
      <c r="B14" t="str">
        <f>"Yoke, Lake (163163)"</f>
        <v>Yoke, Lake (163163)</v>
      </c>
      <c r="C14" t="str">
        <f>"Naples, FL"</f>
        <v>Naples, FL</v>
      </c>
      <c r="D14" t="str">
        <f>"552 - 10"</f>
        <v>552 - 10</v>
      </c>
      <c r="E14" t="str">
        <f>"543 - 5"</f>
        <v>543 - 5</v>
      </c>
      <c r="F14" t="str">
        <f>"1,095 - 15"</f>
        <v>1,095 - 15</v>
      </c>
    </row>
    <row r="15" spans="1:6" x14ac:dyDescent="0.25">
      <c r="A15">
        <v>11</v>
      </c>
      <c r="B15" t="str">
        <f>"Monson, Brett, PO1, USCGR (424485)"</f>
        <v>Monson, Brett, PO1, USCGR (424485)</v>
      </c>
      <c r="C15" t="str">
        <f>"Cambridge, MA"</f>
        <v>Cambridge, MA</v>
      </c>
      <c r="D15" t="str">
        <f>"549 - 10"</f>
        <v>549 - 10</v>
      </c>
      <c r="E15" t="str">
        <f>"544 - 9"</f>
        <v>544 - 9</v>
      </c>
      <c r="F15" t="str">
        <f>"1,093 - 19"</f>
        <v>1,093 - 19</v>
      </c>
    </row>
    <row r="16" spans="1:6" x14ac:dyDescent="0.25">
      <c r="A16">
        <v>12</v>
      </c>
      <c r="B16" t="str">
        <f>"Du, Yucun (Jeff)  (377851)"</f>
        <v>Du, Yucun (Jeff)  (377851)</v>
      </c>
      <c r="C16" t="str">
        <f>"Scarsdale, NY"</f>
        <v>Scarsdale, NY</v>
      </c>
      <c r="D16" t="str">
        <f>"545 - 9"</f>
        <v>545 - 9</v>
      </c>
      <c r="E16" t="str">
        <f>"540 - 9"</f>
        <v>540 - 9</v>
      </c>
      <c r="F16" t="str">
        <f>"1,085 - 18"</f>
        <v>1,085 - 18</v>
      </c>
    </row>
    <row r="17" spans="1:6" x14ac:dyDescent="0.25">
      <c r="A17">
        <v>13</v>
      </c>
      <c r="B17" t="str">
        <f>"Langerak, Evan (412213)"</f>
        <v>Langerak, Evan (412213)</v>
      </c>
      <c r="C17" t="str">
        <f>"Bemidji, MN"</f>
        <v>Bemidji, MN</v>
      </c>
      <c r="D17" t="str">
        <f>"550 - 9"</f>
        <v>550 - 9</v>
      </c>
      <c r="E17" t="str">
        <f>"534 - 7"</f>
        <v>534 - 7</v>
      </c>
      <c r="F17" t="str">
        <f>"1,084 - 16"</f>
        <v>1,084 - 16</v>
      </c>
    </row>
    <row r="18" spans="1:6" x14ac:dyDescent="0.25">
      <c r="A18">
        <v>14</v>
      </c>
      <c r="B18" t="str">
        <f>"Sattler, Ben (512663)"</f>
        <v>Sattler, Ben (512663)</v>
      </c>
      <c r="C18" t="str">
        <f>"Lynchburg, VA"</f>
        <v>Lynchburg, VA</v>
      </c>
      <c r="D18" t="str">
        <f>"542 - 8"</f>
        <v>542 - 8</v>
      </c>
      <c r="E18" t="str">
        <f>"538 - 7"</f>
        <v>538 - 7</v>
      </c>
      <c r="F18" t="str">
        <f>"1,080 - 15"</f>
        <v>1,080 - 15</v>
      </c>
    </row>
    <row r="19" spans="1:6" x14ac:dyDescent="0.25">
      <c r="A19">
        <v>15</v>
      </c>
      <c r="B19" t="str">
        <f>"Forman, David (345787)"</f>
        <v>Forman, David (345787)</v>
      </c>
      <c r="C19" t="str">
        <f>"Columbus, OH"</f>
        <v>Columbus, OH</v>
      </c>
      <c r="D19" t="str">
        <f>"536 - 9"</f>
        <v>536 - 9</v>
      </c>
      <c r="E19" t="str">
        <f>"539 - 8"</f>
        <v>539 - 8</v>
      </c>
      <c r="F19" t="str">
        <f>"1,075 - 17"</f>
        <v>1,075 - 17</v>
      </c>
    </row>
    <row r="20" spans="1:6" x14ac:dyDescent="0.25">
      <c r="A20">
        <v>16</v>
      </c>
      <c r="B20" t="str">
        <f>"Adhikary, Arjun (493627)"</f>
        <v>Adhikary, Arjun (493627)</v>
      </c>
      <c r="C20" t="str">
        <f>"Coppell, TX"</f>
        <v>Coppell, TX</v>
      </c>
      <c r="D20" t="str">
        <f>"531 - 10"</f>
        <v>531 - 10</v>
      </c>
      <c r="E20" t="str">
        <f>"534 - 6"</f>
        <v>534 - 6</v>
      </c>
      <c r="F20" t="str">
        <f>"1,065 - 16"</f>
        <v>1,065 - 16</v>
      </c>
    </row>
    <row r="21" spans="1:6" x14ac:dyDescent="0.25">
      <c r="A21">
        <v>17</v>
      </c>
      <c r="B21" t="str">
        <f>"Bergman, Dalton (279871)"</f>
        <v>Bergman, Dalton (279871)</v>
      </c>
      <c r="C21" t="str">
        <f>"Oak Harbor, OH"</f>
        <v>Oak Harbor, OH</v>
      </c>
      <c r="D21" t="str">
        <f>"526 - 2"</f>
        <v>526 - 2</v>
      </c>
      <c r="E21" t="str">
        <f>"537 - 6"</f>
        <v>537 - 6</v>
      </c>
      <c r="F21" t="str">
        <f>"1,063 - 8"</f>
        <v>1,063 - 8</v>
      </c>
    </row>
    <row r="22" spans="1:6" x14ac:dyDescent="0.25">
      <c r="A22">
        <v>18</v>
      </c>
      <c r="B22" t="str">
        <f>"Chadsey, Dylan (493672)"</f>
        <v>Chadsey, Dylan (493672)</v>
      </c>
      <c r="C22" t="str">
        <f>"Attleboro, MA"</f>
        <v>Attleboro, MA</v>
      </c>
      <c r="D22" t="str">
        <f>"517 - 6"</f>
        <v>517 - 6</v>
      </c>
      <c r="E22" t="str">
        <f>"537 - 7"</f>
        <v>537 - 7</v>
      </c>
      <c r="F22" t="str">
        <f>"1,054 - 13"</f>
        <v>1,054 - 13</v>
      </c>
    </row>
    <row r="23" spans="1:6" x14ac:dyDescent="0.25">
      <c r="A23">
        <v>19</v>
      </c>
      <c r="B23" t="str">
        <f>"Hess, Edward (94562)"</f>
        <v>Hess, Edward (94562)</v>
      </c>
      <c r="C23" t="str">
        <f>"Lakeland, FL"</f>
        <v>Lakeland, FL</v>
      </c>
      <c r="D23" t="str">
        <f>"520 - 2"</f>
        <v>520 - 2</v>
      </c>
      <c r="E23" t="str">
        <f>"528 - 6"</f>
        <v>528 - 6</v>
      </c>
      <c r="F23" t="str">
        <f>"1,048 - 8"</f>
        <v>1,048 - 8</v>
      </c>
    </row>
    <row r="24" spans="1:6" x14ac:dyDescent="0.25">
      <c r="A24">
        <v>20</v>
      </c>
      <c r="B24" t="str">
        <f>"Treml, Trevor, SFC, USAR (385506)"</f>
        <v>Treml, Trevor, SFC, USAR (385506)</v>
      </c>
      <c r="C24" t="str">
        <f>"Luxemburg, WI"</f>
        <v>Luxemburg, WI</v>
      </c>
      <c r="D24" t="str">
        <f>"512 - 2"</f>
        <v>512 - 2</v>
      </c>
      <c r="E24" t="str">
        <f>"534 - 4"</f>
        <v>534 - 4</v>
      </c>
      <c r="F24" t="str">
        <f>"1,046 - 6"</f>
        <v>1,046 - 6</v>
      </c>
    </row>
    <row r="25" spans="1:6" x14ac:dyDescent="0.25">
      <c r="A25">
        <v>21</v>
      </c>
      <c r="B25" t="str">
        <f>"Arten, Ethan (74532)"</f>
        <v>Arten, Ethan (74532)</v>
      </c>
      <c r="C25" t="str">
        <f>"Hazel Park, MI"</f>
        <v>Hazel Park, MI</v>
      </c>
      <c r="D25" t="str">
        <f>"528 - 5"</f>
        <v>528 - 5</v>
      </c>
      <c r="E25" t="str">
        <f>"517 - 6"</f>
        <v>517 - 6</v>
      </c>
      <c r="F25" t="str">
        <f>"1,045 - 11"</f>
        <v>1,045 - 11</v>
      </c>
    </row>
    <row r="26" spans="1:6" x14ac:dyDescent="0.25">
      <c r="A26">
        <v>22</v>
      </c>
      <c r="B26" t="str">
        <f>"Adhikary, Rishi (493628)"</f>
        <v>Adhikary, Rishi (493628)</v>
      </c>
      <c r="C26" t="str">
        <f>"Coppell, TX"</f>
        <v>Coppell, TX</v>
      </c>
      <c r="D26" t="str">
        <f>"522 - 5"</f>
        <v>522 - 5</v>
      </c>
      <c r="E26" t="str">
        <f>"517 - 5"</f>
        <v>517 - 5</v>
      </c>
      <c r="F26" t="str">
        <f>"1,039 - 10"</f>
        <v>1,039 - 10</v>
      </c>
    </row>
    <row r="27" spans="1:6" x14ac:dyDescent="0.25">
      <c r="A27">
        <v>23</v>
      </c>
      <c r="B27" t="str">
        <f>"Boucher, Chase (492422)"</f>
        <v>Boucher, Chase (492422)</v>
      </c>
      <c r="C27" t="str">
        <f>"Swansboro, NO"</f>
        <v>Swansboro, NO</v>
      </c>
      <c r="D27" t="str">
        <f>"509 - 5"</f>
        <v>509 - 5</v>
      </c>
      <c r="E27" t="str">
        <f>"522 - 5"</f>
        <v>522 - 5</v>
      </c>
      <c r="F27" t="str">
        <f>"1,031 - 10"</f>
        <v>1,031 - 10</v>
      </c>
    </row>
    <row r="28" spans="1:6" x14ac:dyDescent="0.25">
      <c r="A28">
        <v>24</v>
      </c>
      <c r="B28" t="str">
        <f>"Kanchanawanchai, Tarin (474522)"</f>
        <v>Kanchanawanchai, Tarin (474522)</v>
      </c>
      <c r="C28" t="str">
        <f>"Springfield, VA"</f>
        <v>Springfield, VA</v>
      </c>
      <c r="D28" t="str">
        <f>"507 - 3"</f>
        <v>507 - 3</v>
      </c>
      <c r="E28" t="str">
        <f>"504 - 3"</f>
        <v>504 - 3</v>
      </c>
      <c r="F28" t="str">
        <f>"1,011 - 6"</f>
        <v>1,011 - 6</v>
      </c>
    </row>
    <row r="29" spans="1:6" x14ac:dyDescent="0.25">
      <c r="A29">
        <v>25</v>
      </c>
      <c r="B29" t="str">
        <f>"Headlee, David (477257)"</f>
        <v>Headlee, David (477257)</v>
      </c>
      <c r="C29" t="str">
        <f>"Fort wayne, IN"</f>
        <v>Fort wayne, IN</v>
      </c>
      <c r="D29" t="str">
        <f>"509 - 4"</f>
        <v>509 - 4</v>
      </c>
      <c r="E29" t="str">
        <f>"495 - 4"</f>
        <v>495 - 4</v>
      </c>
      <c r="F29" t="str">
        <f>"1,004 - 8"</f>
        <v>1,004 - 8</v>
      </c>
    </row>
    <row r="30" spans="1:6" x14ac:dyDescent="0.25">
      <c r="A30">
        <v>26</v>
      </c>
      <c r="B30" t="str">
        <f>"Zob, Christian (512666)"</f>
        <v>Zob, Christian (512666)</v>
      </c>
      <c r="C30" t="str">
        <f>"Hoffman Estates, IL"</f>
        <v>Hoffman Estates, IL</v>
      </c>
      <c r="D30" t="str">
        <f>"501 - 3"</f>
        <v>501 - 3</v>
      </c>
      <c r="E30" t="str">
        <f>"496 - 4"</f>
        <v>496 - 4</v>
      </c>
      <c r="F30" t="str">
        <f>"997 - 7"</f>
        <v>997 - 7</v>
      </c>
    </row>
    <row r="31" spans="1:6" x14ac:dyDescent="0.25">
      <c r="A31">
        <v>27</v>
      </c>
      <c r="B31" t="str">
        <f>"Cline, Tyler (508654)"</f>
        <v>Cline, Tyler (508654)</v>
      </c>
      <c r="C31" t="str">
        <f>"Fairfax, VA"</f>
        <v>Fairfax, VA</v>
      </c>
      <c r="D31" t="str">
        <f>"489 - 2"</f>
        <v>489 - 2</v>
      </c>
      <c r="E31" t="str">
        <f>"496 - 4"</f>
        <v>496 - 4</v>
      </c>
      <c r="F31" t="str">
        <f>"985 - 6"</f>
        <v>985 - 6</v>
      </c>
    </row>
    <row r="32" spans="1:6" x14ac:dyDescent="0.25">
      <c r="A32">
        <v>28</v>
      </c>
      <c r="B32" t="str">
        <f>"Piraviperumal, Kumar (54413)"</f>
        <v>Piraviperumal, Kumar (54413)</v>
      </c>
      <c r="C32" t="str">
        <f>"Harrisburg, PA"</f>
        <v>Harrisburg, PA</v>
      </c>
      <c r="D32" t="str">
        <f>"486 - 2"</f>
        <v>486 - 2</v>
      </c>
      <c r="E32" t="str">
        <f>"490 - 3"</f>
        <v>490 - 3</v>
      </c>
      <c r="F32" t="str">
        <f>"976 - 5"</f>
        <v>976 - 5</v>
      </c>
    </row>
    <row r="33" spans="1:6" x14ac:dyDescent="0.25">
      <c r="A33">
        <v>29</v>
      </c>
      <c r="B33" t="str">
        <f>"Messerschmidt, Luke (413590)"</f>
        <v>Messerschmidt, Luke (413590)</v>
      </c>
      <c r="C33" t="str">
        <f>"Spring Valley, OH"</f>
        <v>Spring Valley, OH</v>
      </c>
      <c r="D33" t="str">
        <f>"487 - 1"</f>
        <v>487 - 1</v>
      </c>
      <c r="E33" t="str">
        <f>"488 - 5"</f>
        <v>488 - 5</v>
      </c>
      <c r="F33" t="str">
        <f>"975 - 6"</f>
        <v>975 - 6</v>
      </c>
    </row>
    <row r="34" spans="1:6" x14ac:dyDescent="0.25">
      <c r="A34">
        <v>30</v>
      </c>
      <c r="B34" t="str">
        <f>"Morrow, Lance, 1stLt, USAF (341819)"</f>
        <v>Morrow, Lance, 1stLt, USAF (341819)</v>
      </c>
      <c r="C34" t="str">
        <f>"Beavercreek, OH"</f>
        <v>Beavercreek, OH</v>
      </c>
      <c r="D34" t="str">
        <f>"476 - 2"</f>
        <v>476 - 2</v>
      </c>
      <c r="E34" t="str">
        <f>"469 - 2"</f>
        <v>469 - 2</v>
      </c>
      <c r="F34" t="str">
        <f>"945 - 4"</f>
        <v>945 - 4</v>
      </c>
    </row>
    <row r="35" spans="1:6" x14ac:dyDescent="0.25">
      <c r="A35">
        <v>31</v>
      </c>
      <c r="B35" t="str">
        <f>"Davidson, Charles , Dr. (494686)"</f>
        <v>Davidson, Charles , Dr. (494686)</v>
      </c>
      <c r="C35" t="str">
        <f>"Germantown, MD"</f>
        <v>Germantown, MD</v>
      </c>
      <c r="D35" t="str">
        <f>"450 - 1"</f>
        <v>450 - 1</v>
      </c>
      <c r="E35" t="str">
        <f>"447 - 2"</f>
        <v>447 - 2</v>
      </c>
      <c r="F35" t="str">
        <f>"897 - 3"</f>
        <v>897 - 3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97527-29A1-4D41-99AC-6A7EAF395576}">
  <dimension ref="A1:T26"/>
  <sheetViews>
    <sheetView workbookViewId="0">
      <selection activeCell="A15" sqref="A15:S28"/>
    </sheetView>
  </sheetViews>
  <sheetFormatPr defaultRowHeight="15" x14ac:dyDescent="0.25"/>
  <cols>
    <col min="1" max="1" width="42.7109375" bestFit="1" customWidth="1"/>
    <col min="2" max="2" width="28.7109375" bestFit="1" customWidth="1"/>
    <col min="3" max="3" width="25.7109375" bestFit="1" customWidth="1"/>
  </cols>
  <sheetData>
    <row r="1" spans="1:20" x14ac:dyDescent="0.25">
      <c r="A1" t="str">
        <f>"2025 USA Shooting Winter Air Gun - Camp Perry"</f>
        <v>2025 USA Shooting Winter Air Gun - Camp Perry</v>
      </c>
    </row>
    <row r="2" spans="1:20" x14ac:dyDescent="0.25">
      <c r="A2" t="str">
        <f>"Open Men"</f>
        <v>Open Men</v>
      </c>
    </row>
    <row r="3" spans="1:20" x14ac:dyDescent="0.25">
      <c r="A3" t="str">
        <f>""</f>
        <v/>
      </c>
    </row>
    <row r="4" spans="1:20" x14ac:dyDescent="0.25">
      <c r="A4" t="str">
        <f>"Place"</f>
        <v>Place</v>
      </c>
      <c r="B4" t="str">
        <f>"Competitor (Comp Num)"</f>
        <v>Competitor (Comp Num)</v>
      </c>
      <c r="C4" t="str">
        <f>"Hometown"</f>
        <v>Hometown</v>
      </c>
      <c r="D4" t="str">
        <f>"ISSF Final, First 5 Shot Stage"</f>
        <v>ISSF Final, First 5 Shot Stage</v>
      </c>
      <c r="E4" t="str">
        <f>"ISSF Final, Second 5 Shot"</f>
        <v>ISSF Final, Second 5 Shot</v>
      </c>
      <c r="F4" t="str">
        <f>"ISSF Final, First 2 Shot"</f>
        <v>ISSF Final, First 2 Shot</v>
      </c>
      <c r="G4" t="str">
        <f>"ISSF Final, Shootoff after F3"</f>
        <v>ISSF Final, Shootoff after F3</v>
      </c>
      <c r="H4" t="str">
        <f>"ISSF Final, Second 2 Shot"</f>
        <v>ISSF Final, Second 2 Shot</v>
      </c>
      <c r="I4" t="str">
        <f>"ISSF Final, Shootoff after F4"</f>
        <v>ISSF Final, Shootoff after F4</v>
      </c>
      <c r="J4" t="str">
        <f>"ISSF Final, Third 2 Shot"</f>
        <v>ISSF Final, Third 2 Shot</v>
      </c>
      <c r="K4" t="str">
        <f>"ISSF Final, Shootoff after F5"</f>
        <v>ISSF Final, Shootoff after F5</v>
      </c>
      <c r="L4" t="str">
        <f>"ISSF Final, Fourth 2 Shot"</f>
        <v>ISSF Final, Fourth 2 Shot</v>
      </c>
      <c r="M4" t="str">
        <f>"ISSF Final, Shootoff after F6"</f>
        <v>ISSF Final, Shootoff after F6</v>
      </c>
      <c r="N4" t="str">
        <f>"ISSF Final, Fifth 2 Shot"</f>
        <v>ISSF Final, Fifth 2 Shot</v>
      </c>
      <c r="O4" t="str">
        <f>"ISSF Final, Shootoff after F7"</f>
        <v>ISSF Final, Shootoff after F7</v>
      </c>
      <c r="P4" t="str">
        <f>"ISSF Final, Sixth 2 Shot"</f>
        <v>ISSF Final, Sixth 2 Shot</v>
      </c>
      <c r="Q4" t="str">
        <f>"ISSF Final, Shootoff after F8"</f>
        <v>ISSF Final, Shootoff after F8</v>
      </c>
      <c r="R4" t="str">
        <f>"ISSF Final, Seventh 2 Shot"</f>
        <v>ISSF Final, Seventh 2 Shot</v>
      </c>
      <c r="S4" t="str">
        <f>"ISSF Final, Shootoff after F9"</f>
        <v>ISSF Final, Shootoff after F9</v>
      </c>
      <c r="T4" t="str">
        <f>"Aggregate"</f>
        <v>Aggregate</v>
      </c>
    </row>
    <row r="5" spans="1:20" x14ac:dyDescent="0.25">
      <c r="A5">
        <v>1</v>
      </c>
      <c r="B5" t="str">
        <f>"Schmeltzer, Timothy (229769)"</f>
        <v>Schmeltzer, Timothy (229769)</v>
      </c>
      <c r="C5" t="str">
        <f>"Sandusky, OH"</f>
        <v>Sandusky, OH</v>
      </c>
      <c r="D5" t="str">
        <f>"48.8"</f>
        <v>48.8</v>
      </c>
      <c r="E5" t="str">
        <f>"47.4"</f>
        <v>47.4</v>
      </c>
      <c r="F5" t="str">
        <f>"20.2"</f>
        <v>20.2</v>
      </c>
      <c r="G5" t="str">
        <f>""</f>
        <v/>
      </c>
      <c r="H5" t="str">
        <f>"21.0"</f>
        <v>21.0</v>
      </c>
      <c r="I5" t="str">
        <f>""</f>
        <v/>
      </c>
      <c r="J5" t="str">
        <f>"19.9"</f>
        <v>19.9</v>
      </c>
      <c r="K5" t="str">
        <f>""</f>
        <v/>
      </c>
      <c r="L5" t="str">
        <f>"19.9"</f>
        <v>19.9</v>
      </c>
      <c r="M5" t="str">
        <f>""</f>
        <v/>
      </c>
      <c r="N5" t="str">
        <f>"18.7"</f>
        <v>18.7</v>
      </c>
      <c r="O5" t="str">
        <f>""</f>
        <v/>
      </c>
      <c r="P5" t="str">
        <f>"20.1"</f>
        <v>20.1</v>
      </c>
      <c r="Q5" t="str">
        <f>""</f>
        <v/>
      </c>
      <c r="R5" t="str">
        <f>"20.2"</f>
        <v>20.2</v>
      </c>
      <c r="S5" t="str">
        <f>""</f>
        <v/>
      </c>
      <c r="T5" t="str">
        <f>"236.2"</f>
        <v>236.2</v>
      </c>
    </row>
    <row r="6" spans="1:20" x14ac:dyDescent="0.25">
      <c r="A6">
        <v>2</v>
      </c>
      <c r="B6" t="str">
        <f>"Arkin, Elie (437013)"</f>
        <v>Arkin, Elie (437013)</v>
      </c>
      <c r="C6" t="str">
        <f>"Falls Church, VA"</f>
        <v>Falls Church, VA</v>
      </c>
      <c r="D6" t="str">
        <f>"50.6"</f>
        <v>50.6</v>
      </c>
      <c r="E6" t="str">
        <f>"49.5"</f>
        <v>49.5</v>
      </c>
      <c r="F6" t="str">
        <f>"21.0"</f>
        <v>21.0</v>
      </c>
      <c r="G6" t="str">
        <f>""</f>
        <v/>
      </c>
      <c r="H6" t="str">
        <f>"20.5"</f>
        <v>20.5</v>
      </c>
      <c r="I6" t="str">
        <f>""</f>
        <v/>
      </c>
      <c r="J6" t="str">
        <f>"19.0"</f>
        <v>19.0</v>
      </c>
      <c r="K6" t="str">
        <f>""</f>
        <v/>
      </c>
      <c r="L6" t="str">
        <f>"19.2"</f>
        <v>19.2</v>
      </c>
      <c r="M6" t="str">
        <f>""</f>
        <v/>
      </c>
      <c r="N6" t="str">
        <f>"17.9"</f>
        <v>17.9</v>
      </c>
      <c r="O6" t="str">
        <f>""</f>
        <v/>
      </c>
      <c r="P6" t="str">
        <f>"19.0"</f>
        <v>19.0</v>
      </c>
      <c r="Q6" t="str">
        <f>""</f>
        <v/>
      </c>
      <c r="R6" t="str">
        <f>"19.0"</f>
        <v>19.0</v>
      </c>
      <c r="S6" t="str">
        <f>""</f>
        <v/>
      </c>
      <c r="T6" t="str">
        <f>"235.7"</f>
        <v>235.7</v>
      </c>
    </row>
    <row r="7" spans="1:20" x14ac:dyDescent="0.25">
      <c r="A7">
        <v>3</v>
      </c>
      <c r="B7" t="str">
        <f>"Hall, James (29)"</f>
        <v>Hall, James (29)</v>
      </c>
      <c r="C7" t="str">
        <f>"Rocheport, MO"</f>
        <v>Rocheport, MO</v>
      </c>
      <c r="D7" t="str">
        <f>"46.4"</f>
        <v>46.4</v>
      </c>
      <c r="E7" t="str">
        <f>"48.5"</f>
        <v>48.5</v>
      </c>
      <c r="F7" t="str">
        <f>"20.7"</f>
        <v>20.7</v>
      </c>
      <c r="G7" t="str">
        <f>""</f>
        <v/>
      </c>
      <c r="H7" t="str">
        <f>"19.5"</f>
        <v>19.5</v>
      </c>
      <c r="I7" t="str">
        <f>""</f>
        <v/>
      </c>
      <c r="J7" t="str">
        <f>"20.5"</f>
        <v>20.5</v>
      </c>
      <c r="K7" t="str">
        <f>""</f>
        <v/>
      </c>
      <c r="L7" t="str">
        <f>"19.0"</f>
        <v>19.0</v>
      </c>
      <c r="M7" t="str">
        <f>""</f>
        <v/>
      </c>
      <c r="N7" t="str">
        <f>"19.8"</f>
        <v>19.8</v>
      </c>
      <c r="O7" t="str">
        <f>""</f>
        <v/>
      </c>
      <c r="P7" t="str">
        <f>"19.3"</f>
        <v>19.3</v>
      </c>
      <c r="Q7" t="str">
        <f>""</f>
        <v/>
      </c>
      <c r="R7" t="str">
        <f>""</f>
        <v/>
      </c>
      <c r="S7" t="str">
        <f>""</f>
        <v/>
      </c>
      <c r="T7" t="str">
        <f>"213.7"</f>
        <v>213.7</v>
      </c>
    </row>
    <row r="8" spans="1:20" x14ac:dyDescent="0.25">
      <c r="A8">
        <v>4</v>
      </c>
      <c r="B8" t="str">
        <f>"Anderson, Raylan, Mr. (477781)"</f>
        <v>Anderson, Raylan, Mr. (477781)</v>
      </c>
      <c r="C8" t="str">
        <f>"Paris, KY"</f>
        <v>Paris, KY</v>
      </c>
      <c r="D8" t="str">
        <f>"46.7"</f>
        <v>46.7</v>
      </c>
      <c r="E8" t="str">
        <f>"50.7"</f>
        <v>50.7</v>
      </c>
      <c r="F8" t="str">
        <f>"20.7"</f>
        <v>20.7</v>
      </c>
      <c r="G8" t="str">
        <f>""</f>
        <v/>
      </c>
      <c r="H8" t="str">
        <f>"20.2"</f>
        <v>20.2</v>
      </c>
      <c r="I8" t="str">
        <f>""</f>
        <v/>
      </c>
      <c r="J8" t="str">
        <f>"17.5"</f>
        <v>17.5</v>
      </c>
      <c r="K8" t="str">
        <f>""</f>
        <v/>
      </c>
      <c r="L8" t="str">
        <f>"19.5"</f>
        <v>19.5</v>
      </c>
      <c r="M8" t="str">
        <f>""</f>
        <v/>
      </c>
      <c r="N8" t="str">
        <f>"15.3"</f>
        <v>15.3</v>
      </c>
      <c r="O8" t="str">
        <f>""</f>
        <v/>
      </c>
      <c r="P8" t="str">
        <f>""</f>
        <v/>
      </c>
      <c r="Q8" t="str">
        <f>""</f>
        <v/>
      </c>
      <c r="R8" t="str">
        <f>""</f>
        <v/>
      </c>
      <c r="S8" t="str">
        <f>""</f>
        <v/>
      </c>
      <c r="T8" t="str">
        <f>"190.6"</f>
        <v>190.6</v>
      </c>
    </row>
    <row r="9" spans="1:20" x14ac:dyDescent="0.25">
      <c r="A9">
        <v>5</v>
      </c>
      <c r="B9" t="str">
        <f>"Smith, Colin (254302)"</f>
        <v>Smith, Colin (254302)</v>
      </c>
      <c r="C9" t="str">
        <f>"Pittsburgh, PA"</f>
        <v>Pittsburgh, PA</v>
      </c>
      <c r="D9" t="str">
        <f>"47.8"</f>
        <v>47.8</v>
      </c>
      <c r="E9" t="str">
        <f>"48.2"</f>
        <v>48.2</v>
      </c>
      <c r="F9" t="str">
        <f>"20.1"</f>
        <v>20.1</v>
      </c>
      <c r="G9" t="str">
        <f>""</f>
        <v/>
      </c>
      <c r="H9" t="str">
        <f>"20.6"</f>
        <v>20.6</v>
      </c>
      <c r="I9" t="str">
        <f>""</f>
        <v/>
      </c>
      <c r="J9" t="str">
        <f>"17.5"</f>
        <v>17.5</v>
      </c>
      <c r="K9" t="str">
        <f>""</f>
        <v/>
      </c>
      <c r="L9" t="str">
        <f>"18.7"</f>
        <v>18.7</v>
      </c>
      <c r="M9" t="str">
        <f>""</f>
        <v/>
      </c>
      <c r="N9" t="str">
        <f>""</f>
        <v/>
      </c>
      <c r="O9" t="str">
        <f>""</f>
        <v/>
      </c>
      <c r="P9" t="str">
        <f>""</f>
        <v/>
      </c>
      <c r="Q9" t="str">
        <f>""</f>
        <v/>
      </c>
      <c r="R9" t="str">
        <f>""</f>
        <v/>
      </c>
      <c r="S9" t="str">
        <f>""</f>
        <v/>
      </c>
      <c r="T9" t="str">
        <f>"172.9"</f>
        <v>172.9</v>
      </c>
    </row>
    <row r="10" spans="1:20" x14ac:dyDescent="0.25">
      <c r="A10">
        <v>6</v>
      </c>
      <c r="B10" t="str">
        <f>"Klemp, Marcus (335048)"</f>
        <v>Klemp, Marcus (335048)</v>
      </c>
      <c r="C10" t="str">
        <f>"Missoula, MT"</f>
        <v>Missoula, MT</v>
      </c>
      <c r="D10" t="str">
        <f>"49.7"</f>
        <v>49.7</v>
      </c>
      <c r="E10" t="str">
        <f>"47.4"</f>
        <v>47.4</v>
      </c>
      <c r="F10" t="str">
        <f>"19.4"</f>
        <v>19.4</v>
      </c>
      <c r="G10" t="str">
        <f>""</f>
        <v/>
      </c>
      <c r="H10" t="str">
        <f>"19.5"</f>
        <v>19.5</v>
      </c>
      <c r="I10" t="str">
        <f>""</f>
        <v/>
      </c>
      <c r="J10" t="str">
        <f>"17.9"</f>
        <v>17.9</v>
      </c>
      <c r="K10" t="str">
        <f>""</f>
        <v/>
      </c>
      <c r="L10" t="str">
        <f>""</f>
        <v/>
      </c>
      <c r="M10" t="str">
        <f>""</f>
        <v/>
      </c>
      <c r="N10" t="str">
        <f>""</f>
        <v/>
      </c>
      <c r="O10" t="str">
        <f>""</f>
        <v/>
      </c>
      <c r="P10" t="str">
        <f>""</f>
        <v/>
      </c>
      <c r="Q10" t="str">
        <f>""</f>
        <v/>
      </c>
      <c r="R10" t="str">
        <f>""</f>
        <v/>
      </c>
      <c r="S10" t="str">
        <f>""</f>
        <v/>
      </c>
      <c r="T10" t="str">
        <f>"153.9"</f>
        <v>153.9</v>
      </c>
    </row>
    <row r="11" spans="1:20" x14ac:dyDescent="0.25">
      <c r="A11">
        <v>7</v>
      </c>
      <c r="B11" t="str">
        <f>"Simpson, Blaine (362489)"</f>
        <v>Simpson, Blaine (362489)</v>
      </c>
      <c r="C11" t="str">
        <f>"Sidney , OH"</f>
        <v>Sidney , OH</v>
      </c>
      <c r="D11" t="str">
        <f>"51.2"</f>
        <v>51.2</v>
      </c>
      <c r="E11" t="str">
        <f>"44.1"</f>
        <v>44.1</v>
      </c>
      <c r="F11" t="str">
        <f>"20.7"</f>
        <v>20.7</v>
      </c>
      <c r="G11" t="str">
        <f>""</f>
        <v/>
      </c>
      <c r="H11" t="str">
        <f>"19.1"</f>
        <v>19.1</v>
      </c>
      <c r="I11" t="str">
        <f>""</f>
        <v/>
      </c>
      <c r="J11" t="str">
        <f>""</f>
        <v/>
      </c>
      <c r="K11" t="str">
        <f>""</f>
        <v/>
      </c>
      <c r="L11" t="str">
        <f>""</f>
        <v/>
      </c>
      <c r="M11" t="str">
        <f>""</f>
        <v/>
      </c>
      <c r="N11" t="str">
        <f>""</f>
        <v/>
      </c>
      <c r="O11" t="str">
        <f>""</f>
        <v/>
      </c>
      <c r="P11" t="str">
        <f>""</f>
        <v/>
      </c>
      <c r="Q11" t="str">
        <f>""</f>
        <v/>
      </c>
      <c r="R11" t="str">
        <f>""</f>
        <v/>
      </c>
      <c r="S11" t="str">
        <f>""</f>
        <v/>
      </c>
      <c r="T11" t="str">
        <f>"135.1"</f>
        <v>135.1</v>
      </c>
    </row>
    <row r="12" spans="1:20" x14ac:dyDescent="0.25">
      <c r="A12">
        <v>8</v>
      </c>
      <c r="B12" t="str">
        <f>"Regala, William (386616)"</f>
        <v>Regala, William (386616)</v>
      </c>
      <c r="C12" t="str">
        <f>"Burke, VA"</f>
        <v>Burke, VA</v>
      </c>
      <c r="D12" t="str">
        <f>"45.5"</f>
        <v>45.5</v>
      </c>
      <c r="E12" t="str">
        <f>"45.8"</f>
        <v>45.8</v>
      </c>
      <c r="F12" t="str">
        <f>"18.4"</f>
        <v>18.4</v>
      </c>
      <c r="G12" t="str">
        <f>""</f>
        <v/>
      </c>
      <c r="H12" t="str">
        <f>""</f>
        <v/>
      </c>
      <c r="I12" t="str">
        <f>""</f>
        <v/>
      </c>
      <c r="J12" t="str">
        <f>""</f>
        <v/>
      </c>
      <c r="K12" t="str">
        <f>""</f>
        <v/>
      </c>
      <c r="L12" t="str">
        <f>""</f>
        <v/>
      </c>
      <c r="M12" t="str">
        <f>""</f>
        <v/>
      </c>
      <c r="N12" t="str">
        <f>""</f>
        <v/>
      </c>
      <c r="O12" t="str">
        <f>""</f>
        <v/>
      </c>
      <c r="P12" t="str">
        <f>""</f>
        <v/>
      </c>
      <c r="Q12" t="str">
        <f>""</f>
        <v/>
      </c>
      <c r="R12" t="str">
        <f>""</f>
        <v/>
      </c>
      <c r="S12" t="str">
        <f>""</f>
        <v/>
      </c>
      <c r="T12" t="str">
        <f>"109.7"</f>
        <v>109.7</v>
      </c>
    </row>
    <row r="15" spans="1:20" x14ac:dyDescent="0.25">
      <c r="A15" t="str">
        <f>"2025 USA Shooting Winter Air Gun - Camp Perry"</f>
        <v>2025 USA Shooting Winter Air Gun - Camp Perry</v>
      </c>
    </row>
    <row r="16" spans="1:20" x14ac:dyDescent="0.25">
      <c r="A16" t="str">
        <f>"Junior Men's Final "</f>
        <v xml:space="preserve">Junior Men's Final </v>
      </c>
    </row>
    <row r="17" spans="1:19" x14ac:dyDescent="0.25">
      <c r="A17" t="str">
        <f>""</f>
        <v/>
      </c>
    </row>
    <row r="18" spans="1:19" x14ac:dyDescent="0.25">
      <c r="A18" t="str">
        <f>"Place"</f>
        <v>Place</v>
      </c>
      <c r="B18" t="str">
        <f>"Competitor (Comp Num)"</f>
        <v>Competitor (Comp Num)</v>
      </c>
      <c r="C18" t="str">
        <f>"ISSF Final, First 5 Shot Stage"</f>
        <v>ISSF Final, First 5 Shot Stage</v>
      </c>
      <c r="D18" t="str">
        <f>"ISSF Final, Second 5 Shot"</f>
        <v>ISSF Final, Second 5 Shot</v>
      </c>
      <c r="E18" t="str">
        <f>"ISSF Final, First 2 Shot"</f>
        <v>ISSF Final, First 2 Shot</v>
      </c>
      <c r="F18" t="str">
        <f>"ISSF Final, Shootoff after F3"</f>
        <v>ISSF Final, Shootoff after F3</v>
      </c>
      <c r="G18" t="str">
        <f>"ISSF Final, Second 2 Shot"</f>
        <v>ISSF Final, Second 2 Shot</v>
      </c>
      <c r="H18" t="str">
        <f>"ISSF Final, Shootoff after F4"</f>
        <v>ISSF Final, Shootoff after F4</v>
      </c>
      <c r="I18" t="str">
        <f>"ISSF Final, Third 2 Shot"</f>
        <v>ISSF Final, Third 2 Shot</v>
      </c>
      <c r="J18" t="str">
        <f>"ISSF Final, Shootoff after F5"</f>
        <v>ISSF Final, Shootoff after F5</v>
      </c>
      <c r="K18" t="str">
        <f>"ISSF Final, Fourth 2 Shot"</f>
        <v>ISSF Final, Fourth 2 Shot</v>
      </c>
      <c r="L18" t="str">
        <f>"ISSF Final, Shootoff after F6"</f>
        <v>ISSF Final, Shootoff after F6</v>
      </c>
      <c r="M18" t="str">
        <f>"ISSF Final, Fifth 2 Shot"</f>
        <v>ISSF Final, Fifth 2 Shot</v>
      </c>
      <c r="N18" t="str">
        <f>"ISSF Final, Shootoff after F7"</f>
        <v>ISSF Final, Shootoff after F7</v>
      </c>
      <c r="O18" t="str">
        <f>"ISSF Final, Sixth 2 Shot"</f>
        <v>ISSF Final, Sixth 2 Shot</v>
      </c>
      <c r="P18" t="str">
        <f>"ISSF Final, Shootoff after F8"</f>
        <v>ISSF Final, Shootoff after F8</v>
      </c>
      <c r="Q18" t="str">
        <f>"ISSF Final, Seventh 2 Shot"</f>
        <v>ISSF Final, Seventh 2 Shot</v>
      </c>
      <c r="R18" t="str">
        <f>"ISSF Final, Shootoff after F9"</f>
        <v>ISSF Final, Shootoff after F9</v>
      </c>
      <c r="S18" t="str">
        <f>"Aggregate"</f>
        <v>Aggregate</v>
      </c>
    </row>
    <row r="19" spans="1:19" x14ac:dyDescent="0.25">
      <c r="A19">
        <v>1</v>
      </c>
      <c r="B19" t="str">
        <f>"Klemp, Marcus (335048)"</f>
        <v>Klemp, Marcus (335048)</v>
      </c>
      <c r="C19" t="str">
        <f>"51.1"</f>
        <v>51.1</v>
      </c>
      <c r="D19" t="str">
        <f>"50.2"</f>
        <v>50.2</v>
      </c>
      <c r="E19" t="str">
        <f>"19.4"</f>
        <v>19.4</v>
      </c>
      <c r="F19" t="str">
        <f>""</f>
        <v/>
      </c>
      <c r="G19" t="str">
        <f>"19.5"</f>
        <v>19.5</v>
      </c>
      <c r="H19" t="str">
        <f>""</f>
        <v/>
      </c>
      <c r="I19" t="str">
        <f>"20.5"</f>
        <v>20.5</v>
      </c>
      <c r="J19" t="str">
        <f>""</f>
        <v/>
      </c>
      <c r="K19" t="str">
        <f>"18.9"</f>
        <v>18.9</v>
      </c>
      <c r="L19" t="str">
        <f>""</f>
        <v/>
      </c>
      <c r="M19" t="str">
        <f>"19.3"</f>
        <v>19.3</v>
      </c>
      <c r="N19" t="str">
        <f>""</f>
        <v/>
      </c>
      <c r="O19" t="str">
        <f>"20.2"</f>
        <v>20.2</v>
      </c>
      <c r="P19" t="str">
        <f>""</f>
        <v/>
      </c>
      <c r="Q19" t="str">
        <f>"19.9"</f>
        <v>19.9</v>
      </c>
      <c r="R19" t="str">
        <f>""</f>
        <v/>
      </c>
      <c r="S19" t="str">
        <f>"239.0"</f>
        <v>239.0</v>
      </c>
    </row>
    <row r="20" spans="1:19" x14ac:dyDescent="0.25">
      <c r="A20">
        <v>2</v>
      </c>
      <c r="B20" t="str">
        <f>"Simpson, Blaine (362489)"</f>
        <v>Simpson, Blaine (362489)</v>
      </c>
      <c r="C20" t="str">
        <f>"50.9"</f>
        <v>50.9</v>
      </c>
      <c r="D20" t="str">
        <f>"47.1"</f>
        <v>47.1</v>
      </c>
      <c r="E20" t="str">
        <f>"20.1"</f>
        <v>20.1</v>
      </c>
      <c r="F20" t="str">
        <f>""</f>
        <v/>
      </c>
      <c r="G20" t="str">
        <f>"18.9"</f>
        <v>18.9</v>
      </c>
      <c r="H20" t="str">
        <f>""</f>
        <v/>
      </c>
      <c r="I20" t="str">
        <f>"19.4"</f>
        <v>19.4</v>
      </c>
      <c r="J20" t="str">
        <f>""</f>
        <v/>
      </c>
      <c r="K20" t="str">
        <f>"19.3"</f>
        <v>19.3</v>
      </c>
      <c r="L20" t="str">
        <f>""</f>
        <v/>
      </c>
      <c r="M20" t="str">
        <f>"19.6"</f>
        <v>19.6</v>
      </c>
      <c r="N20" t="str">
        <f>""</f>
        <v/>
      </c>
      <c r="O20" t="str">
        <f>"19.4"</f>
        <v>19.4</v>
      </c>
      <c r="P20" t="str">
        <f>""</f>
        <v/>
      </c>
      <c r="Q20" t="str">
        <f>"19.5"</f>
        <v>19.5</v>
      </c>
      <c r="R20" t="str">
        <f>""</f>
        <v/>
      </c>
      <c r="S20" t="str">
        <f>"234.2"</f>
        <v>234.2</v>
      </c>
    </row>
    <row r="21" spans="1:19" x14ac:dyDescent="0.25">
      <c r="A21">
        <v>3</v>
      </c>
      <c r="B21" t="str">
        <f>"Poulin, Sam (409668)"</f>
        <v>Poulin, Sam (409668)</v>
      </c>
      <c r="C21" t="str">
        <f>"48.1"</f>
        <v>48.1</v>
      </c>
      <c r="D21" t="str">
        <f>"47.2"</f>
        <v>47.2</v>
      </c>
      <c r="E21" t="str">
        <f>"19.5"</f>
        <v>19.5</v>
      </c>
      <c r="F21" t="str">
        <f>""</f>
        <v/>
      </c>
      <c r="G21" t="str">
        <f>"20.0"</f>
        <v>20.0</v>
      </c>
      <c r="H21" t="str">
        <f>""</f>
        <v/>
      </c>
      <c r="I21" t="str">
        <f>"19.1"</f>
        <v>19.1</v>
      </c>
      <c r="J21" t="str">
        <f>""</f>
        <v/>
      </c>
      <c r="K21" t="str">
        <f>"18.9"</f>
        <v>18.9</v>
      </c>
      <c r="L21" t="str">
        <f>""</f>
        <v/>
      </c>
      <c r="M21" t="str">
        <f>"19.4"</f>
        <v>19.4</v>
      </c>
      <c r="N21" t="str">
        <f>""</f>
        <v/>
      </c>
      <c r="O21" t="str">
        <f>"19.6"</f>
        <v>19.6</v>
      </c>
      <c r="P21" t="str">
        <f>""</f>
        <v/>
      </c>
      <c r="Q21" t="str">
        <f>""</f>
        <v/>
      </c>
      <c r="R21" t="str">
        <f>""</f>
        <v/>
      </c>
      <c r="S21" t="str">
        <f>"211.8"</f>
        <v>211.8</v>
      </c>
    </row>
    <row r="22" spans="1:19" x14ac:dyDescent="0.25">
      <c r="A22">
        <v>4</v>
      </c>
      <c r="B22" t="str">
        <f>"Regala, William (386616)"</f>
        <v>Regala, William (386616)</v>
      </c>
      <c r="C22" t="str">
        <f>"47.7"</f>
        <v>47.7</v>
      </c>
      <c r="D22" t="str">
        <f>"47.1"</f>
        <v>47.1</v>
      </c>
      <c r="E22" t="str">
        <f>"20.2"</f>
        <v>20.2</v>
      </c>
      <c r="F22" t="str">
        <f>""</f>
        <v/>
      </c>
      <c r="G22" t="str">
        <f>"19.3"</f>
        <v>19.3</v>
      </c>
      <c r="H22" t="str">
        <f>""</f>
        <v/>
      </c>
      <c r="I22" t="str">
        <f>"16.6"</f>
        <v>16.6</v>
      </c>
      <c r="J22" t="str">
        <f>""</f>
        <v/>
      </c>
      <c r="K22" t="str">
        <f>"20.2"</f>
        <v>20.2</v>
      </c>
      <c r="L22" t="str">
        <f>""</f>
        <v/>
      </c>
      <c r="M22" t="str">
        <f>"20.0"</f>
        <v>20.0</v>
      </c>
      <c r="N22" t="str">
        <f>""</f>
        <v/>
      </c>
      <c r="O22" t="str">
        <f>""</f>
        <v/>
      </c>
      <c r="P22" t="str">
        <f>""</f>
        <v/>
      </c>
      <c r="Q22" t="str">
        <f>""</f>
        <v/>
      </c>
      <c r="R22" t="str">
        <f>""</f>
        <v/>
      </c>
      <c r="S22" t="str">
        <f>"191.1"</f>
        <v>191.1</v>
      </c>
    </row>
    <row r="23" spans="1:19" x14ac:dyDescent="0.25">
      <c r="A23">
        <v>5</v>
      </c>
      <c r="B23" t="str">
        <f>"Anderson, Raylan, Mr. (477781)"</f>
        <v>Anderson, Raylan, Mr. (477781)</v>
      </c>
      <c r="C23" t="str">
        <f>"50.0"</f>
        <v>50.0</v>
      </c>
      <c r="D23" t="str">
        <f>"45.5"</f>
        <v>45.5</v>
      </c>
      <c r="E23" t="str">
        <f>"19.6"</f>
        <v>19.6</v>
      </c>
      <c r="F23" t="str">
        <f>""</f>
        <v/>
      </c>
      <c r="G23" t="str">
        <f>"17.1"</f>
        <v>17.1</v>
      </c>
      <c r="H23" t="str">
        <f>""</f>
        <v/>
      </c>
      <c r="I23" t="str">
        <f>"18.5"</f>
        <v>18.5</v>
      </c>
      <c r="J23" t="str">
        <f>""</f>
        <v/>
      </c>
      <c r="K23" t="str">
        <f>"19.9"</f>
        <v>19.9</v>
      </c>
      <c r="L23" t="str">
        <f>""</f>
        <v/>
      </c>
      <c r="M23" t="str">
        <f>""</f>
        <v/>
      </c>
      <c r="N23" t="str">
        <f>""</f>
        <v/>
      </c>
      <c r="O23" t="str">
        <f>""</f>
        <v/>
      </c>
      <c r="P23" t="str">
        <f>""</f>
        <v/>
      </c>
      <c r="Q23" t="str">
        <f>""</f>
        <v/>
      </c>
      <c r="R23" t="str">
        <f>""</f>
        <v/>
      </c>
      <c r="S23" t="str">
        <f>"170.6"</f>
        <v>170.6</v>
      </c>
    </row>
    <row r="24" spans="1:19" x14ac:dyDescent="0.25">
      <c r="A24">
        <v>6</v>
      </c>
      <c r="B24" t="str">
        <f>"Langerak, Evan (412213)"</f>
        <v>Langerak, Evan (412213)</v>
      </c>
      <c r="C24" t="str">
        <f>"43.8"</f>
        <v>43.8</v>
      </c>
      <c r="D24" t="str">
        <f>"47.6"</f>
        <v>47.6</v>
      </c>
      <c r="E24" t="str">
        <f>"20.3"</f>
        <v>20.3</v>
      </c>
      <c r="F24" t="str">
        <f>""</f>
        <v/>
      </c>
      <c r="G24" t="str">
        <f>"18.6"</f>
        <v>18.6</v>
      </c>
      <c r="H24" t="str">
        <f>""</f>
        <v/>
      </c>
      <c r="I24" t="str">
        <f>"20.1"</f>
        <v>20.1</v>
      </c>
      <c r="J24" t="str">
        <f>""</f>
        <v/>
      </c>
      <c r="K24" t="str">
        <f>""</f>
        <v/>
      </c>
      <c r="L24" t="str">
        <f>""</f>
        <v/>
      </c>
      <c r="M24" t="str">
        <f>""</f>
        <v/>
      </c>
      <c r="N24" t="str">
        <f>""</f>
        <v/>
      </c>
      <c r="O24" t="str">
        <f>""</f>
        <v/>
      </c>
      <c r="P24" t="str">
        <f>""</f>
        <v/>
      </c>
      <c r="Q24" t="str">
        <f>""</f>
        <v/>
      </c>
      <c r="R24" t="str">
        <f>""</f>
        <v/>
      </c>
      <c r="S24" t="str">
        <f>"150.4"</f>
        <v>150.4</v>
      </c>
    </row>
    <row r="25" spans="1:19" x14ac:dyDescent="0.25">
      <c r="A25">
        <v>7</v>
      </c>
      <c r="B25" t="str">
        <f>"Arkin, Elie (437013)"</f>
        <v>Arkin, Elie (437013)</v>
      </c>
      <c r="C25" t="str">
        <f>"42.4"</f>
        <v>42.4</v>
      </c>
      <c r="D25" t="str">
        <f>"46.3"</f>
        <v>46.3</v>
      </c>
      <c r="E25" t="str">
        <f>"17.5"</f>
        <v>17.5</v>
      </c>
      <c r="F25" t="str">
        <f>""</f>
        <v/>
      </c>
      <c r="G25" t="str">
        <f>"18.7"</f>
        <v>18.7</v>
      </c>
      <c r="H25" t="str">
        <f>""</f>
        <v/>
      </c>
      <c r="I25" t="str">
        <f>""</f>
        <v/>
      </c>
      <c r="J25" t="str">
        <f>""</f>
        <v/>
      </c>
      <c r="K25" t="str">
        <f>""</f>
        <v/>
      </c>
      <c r="L25" t="str">
        <f>""</f>
        <v/>
      </c>
      <c r="M25" t="str">
        <f>""</f>
        <v/>
      </c>
      <c r="N25" t="str">
        <f>""</f>
        <v/>
      </c>
      <c r="O25" t="str">
        <f>""</f>
        <v/>
      </c>
      <c r="P25" t="str">
        <f>""</f>
        <v/>
      </c>
      <c r="Q25" t="str">
        <f>""</f>
        <v/>
      </c>
      <c r="R25" t="str">
        <f>""</f>
        <v/>
      </c>
      <c r="S25" t="str">
        <f>"124.9"</f>
        <v>124.9</v>
      </c>
    </row>
    <row r="26" spans="1:19" x14ac:dyDescent="0.25">
      <c r="A26">
        <v>8</v>
      </c>
      <c r="B26" t="str">
        <f>"Adhikary, Arjun (493627)"</f>
        <v>Adhikary, Arjun (493627)</v>
      </c>
      <c r="C26" t="str">
        <f>"44.8"</f>
        <v>44.8</v>
      </c>
      <c r="D26" t="str">
        <f>"36.6"</f>
        <v>36.6</v>
      </c>
      <c r="E26" t="str">
        <f>"16.6"</f>
        <v>16.6</v>
      </c>
      <c r="F26" t="str">
        <f>""</f>
        <v/>
      </c>
      <c r="G26" t="str">
        <f>""</f>
        <v/>
      </c>
      <c r="H26" t="str">
        <f>""</f>
        <v/>
      </c>
      <c r="I26" t="str">
        <f>""</f>
        <v/>
      </c>
      <c r="J26" t="str">
        <f>""</f>
        <v/>
      </c>
      <c r="K26" t="str">
        <f>""</f>
        <v/>
      </c>
      <c r="L26" t="str">
        <f>""</f>
        <v/>
      </c>
      <c r="M26" t="str">
        <f>""</f>
        <v/>
      </c>
      <c r="N26" t="str">
        <f>""</f>
        <v/>
      </c>
      <c r="O26" t="str">
        <f>""</f>
        <v/>
      </c>
      <c r="P26" t="str">
        <f>""</f>
        <v/>
      </c>
      <c r="Q26" t="str">
        <f>""</f>
        <v/>
      </c>
      <c r="R26" t="str">
        <f>""</f>
        <v/>
      </c>
      <c r="S26" t="str">
        <f>"98.0"</f>
        <v>98.0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WAR</vt:lpstr>
      <vt:lpstr>WAR Finals</vt:lpstr>
      <vt:lpstr>MAR</vt:lpstr>
      <vt:lpstr>MAR Finals</vt:lpstr>
      <vt:lpstr>Para</vt:lpstr>
      <vt:lpstr>WAP</vt:lpstr>
      <vt:lpstr>WAP Finals</vt:lpstr>
      <vt:lpstr>MAP</vt:lpstr>
      <vt:lpstr>MAP Finals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MacAllister</dc:creator>
  <cp:lastModifiedBy>Ashley MacAllister</cp:lastModifiedBy>
  <dcterms:created xsi:type="dcterms:W3CDTF">2026-07-02T12:53:01Z</dcterms:created>
  <dcterms:modified xsi:type="dcterms:W3CDTF">2026-07-02T12:53:01Z</dcterms:modified>
</cp:coreProperties>
</file>